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luca.bassanesi\Desktop\REGOLAMENTI\NUOVO REGOLAMENTO INCENTIVI TECNICI 26\"/>
    </mc:Choice>
  </mc:AlternateContent>
  <xr:revisionPtr revIDLastSave="0" documentId="13_ncr:1_{0D57718E-66B3-434C-A17B-C1C7E9877E47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iepilogo" sheetId="1" r:id="rId1"/>
    <sheet name="Procedura" sheetId="2" r:id="rId2"/>
    <sheet name="Personale" sheetId="3" r:id="rId3"/>
    <sheet name="Voci" sheetId="4" r:id="rId4"/>
    <sheet name="Riparto" sheetId="5" r:id="rId5"/>
    <sheet name="Controlli" sheetId="6" r:id="rId6"/>
    <sheet name="Guida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7" i="6" l="1"/>
  <c r="B16" i="6"/>
  <c r="B15" i="6"/>
  <c r="AG105" i="5"/>
  <c r="AF105" i="5"/>
  <c r="AE105" i="5"/>
  <c r="AD105" i="5"/>
  <c r="AC105" i="5"/>
  <c r="Z105" i="5" s="1"/>
  <c r="AH105" i="5" s="1"/>
  <c r="AB105" i="5"/>
  <c r="AA105" i="5"/>
  <c r="Y105" i="5"/>
  <c r="V105" i="5"/>
  <c r="U105" i="5"/>
  <c r="T105" i="5"/>
  <c r="S105" i="5"/>
  <c r="Q105" i="5"/>
  <c r="P105" i="5"/>
  <c r="O105" i="5"/>
  <c r="G105" i="5"/>
  <c r="F105" i="5"/>
  <c r="E105" i="5"/>
  <c r="AG104" i="5"/>
  <c r="AF104" i="5"/>
  <c r="AE104" i="5"/>
  <c r="AD104" i="5"/>
  <c r="AC104" i="5"/>
  <c r="Z104" i="5" s="1"/>
  <c r="AH104" i="5" s="1"/>
  <c r="AB104" i="5"/>
  <c r="AA104" i="5"/>
  <c r="Y104" i="5"/>
  <c r="X104" i="5"/>
  <c r="W104" i="5"/>
  <c r="V104" i="5"/>
  <c r="U104" i="5"/>
  <c r="T104" i="5"/>
  <c r="S104" i="5"/>
  <c r="Q104" i="5"/>
  <c r="P104" i="5"/>
  <c r="O104" i="5"/>
  <c r="R104" i="5" s="1"/>
  <c r="G104" i="5"/>
  <c r="F104" i="5"/>
  <c r="E104" i="5"/>
  <c r="AG103" i="5"/>
  <c r="AF103" i="5"/>
  <c r="AE103" i="5"/>
  <c r="AD103" i="5"/>
  <c r="AC103" i="5"/>
  <c r="Z103" i="5" s="1"/>
  <c r="AH103" i="5" s="1"/>
  <c r="AB103" i="5"/>
  <c r="AA103" i="5"/>
  <c r="Y103" i="5"/>
  <c r="V103" i="5"/>
  <c r="U103" i="5"/>
  <c r="W103" i="5" s="1"/>
  <c r="X103" i="5" s="1"/>
  <c r="T103" i="5"/>
  <c r="S103" i="5"/>
  <c r="Q103" i="5"/>
  <c r="P103" i="5"/>
  <c r="O103" i="5"/>
  <c r="R103" i="5" s="1"/>
  <c r="G103" i="5"/>
  <c r="F103" i="5"/>
  <c r="E103" i="5"/>
  <c r="AG102" i="5"/>
  <c r="AF102" i="5"/>
  <c r="AE102" i="5"/>
  <c r="AD102" i="5"/>
  <c r="AC102" i="5"/>
  <c r="Z102" i="5" s="1"/>
  <c r="AH102" i="5" s="1"/>
  <c r="AB102" i="5"/>
  <c r="AA102" i="5"/>
  <c r="Y102" i="5"/>
  <c r="V102" i="5"/>
  <c r="W102" i="5" s="1"/>
  <c r="U102" i="5"/>
  <c r="T102" i="5"/>
  <c r="S102" i="5"/>
  <c r="Q102" i="5"/>
  <c r="P102" i="5"/>
  <c r="O102" i="5"/>
  <c r="G102" i="5"/>
  <c r="F102" i="5"/>
  <c r="E102" i="5"/>
  <c r="AG101" i="5"/>
  <c r="AF101" i="5"/>
  <c r="AE101" i="5"/>
  <c r="AD101" i="5"/>
  <c r="AC101" i="5"/>
  <c r="Z101" i="5" s="1"/>
  <c r="AH101" i="5" s="1"/>
  <c r="AB101" i="5"/>
  <c r="AA101" i="5"/>
  <c r="Y101" i="5"/>
  <c r="X101" i="5"/>
  <c r="W101" i="5"/>
  <c r="V101" i="5"/>
  <c r="U101" i="5"/>
  <c r="T101" i="5"/>
  <c r="S101" i="5"/>
  <c r="Q101" i="5"/>
  <c r="P101" i="5"/>
  <c r="O101" i="5"/>
  <c r="G101" i="5"/>
  <c r="F101" i="5"/>
  <c r="E101" i="5"/>
  <c r="AG100" i="5"/>
  <c r="AF100" i="5"/>
  <c r="AE100" i="5"/>
  <c r="AD100" i="5"/>
  <c r="AC100" i="5"/>
  <c r="Z100" i="5" s="1"/>
  <c r="AH100" i="5" s="1"/>
  <c r="AB100" i="5"/>
  <c r="AA100" i="5"/>
  <c r="Y100" i="5"/>
  <c r="V100" i="5"/>
  <c r="U100" i="5"/>
  <c r="T100" i="5"/>
  <c r="S100" i="5"/>
  <c r="Q100" i="5"/>
  <c r="P100" i="5"/>
  <c r="O100" i="5"/>
  <c r="R100" i="5" s="1"/>
  <c r="G100" i="5"/>
  <c r="F100" i="5"/>
  <c r="E100" i="5"/>
  <c r="AG99" i="5"/>
  <c r="AF99" i="5"/>
  <c r="AE99" i="5"/>
  <c r="AD99" i="5"/>
  <c r="AC99" i="5"/>
  <c r="AB99" i="5"/>
  <c r="AA99" i="5"/>
  <c r="Y99" i="5"/>
  <c r="V99" i="5"/>
  <c r="U99" i="5"/>
  <c r="T99" i="5"/>
  <c r="S99" i="5"/>
  <c r="Q99" i="5"/>
  <c r="P99" i="5"/>
  <c r="R99" i="5" s="1"/>
  <c r="O99" i="5"/>
  <c r="G99" i="5"/>
  <c r="F99" i="5"/>
  <c r="E99" i="5"/>
  <c r="Z99" i="5" s="1"/>
  <c r="AH99" i="5" s="1"/>
  <c r="AG98" i="5"/>
  <c r="AF98" i="5"/>
  <c r="AE98" i="5"/>
  <c r="AD98" i="5"/>
  <c r="AC98" i="5"/>
  <c r="Z98" i="5" s="1"/>
  <c r="AH98" i="5" s="1"/>
  <c r="AB98" i="5"/>
  <c r="AA98" i="5"/>
  <c r="Y98" i="5"/>
  <c r="V98" i="5"/>
  <c r="U98" i="5"/>
  <c r="T98" i="5"/>
  <c r="S98" i="5"/>
  <c r="R98" i="5"/>
  <c r="Q98" i="5"/>
  <c r="P98" i="5"/>
  <c r="O98" i="5"/>
  <c r="G98" i="5"/>
  <c r="F98" i="5"/>
  <c r="E98" i="5"/>
  <c r="AG97" i="5"/>
  <c r="AF97" i="5"/>
  <c r="AE97" i="5"/>
  <c r="AD97" i="5"/>
  <c r="AC97" i="5"/>
  <c r="AB97" i="5"/>
  <c r="AA97" i="5"/>
  <c r="Y97" i="5"/>
  <c r="V97" i="5"/>
  <c r="U97" i="5"/>
  <c r="T97" i="5"/>
  <c r="S97" i="5"/>
  <c r="R97" i="5"/>
  <c r="Q97" i="5"/>
  <c r="P97" i="5"/>
  <c r="O97" i="5"/>
  <c r="G97" i="5"/>
  <c r="F97" i="5"/>
  <c r="E97" i="5"/>
  <c r="Z97" i="5" s="1"/>
  <c r="AH97" i="5" s="1"/>
  <c r="AG96" i="5"/>
  <c r="AF96" i="5"/>
  <c r="AE96" i="5"/>
  <c r="AD96" i="5"/>
  <c r="AC96" i="5"/>
  <c r="AB96" i="5"/>
  <c r="AA96" i="5"/>
  <c r="Z96" i="5"/>
  <c r="AH96" i="5" s="1"/>
  <c r="Y96" i="5"/>
  <c r="V96" i="5"/>
  <c r="U96" i="5"/>
  <c r="T96" i="5"/>
  <c r="S96" i="5"/>
  <c r="Q96" i="5"/>
  <c r="P96" i="5"/>
  <c r="O96" i="5"/>
  <c r="R96" i="5" s="1"/>
  <c r="G96" i="5"/>
  <c r="F96" i="5"/>
  <c r="E96" i="5"/>
  <c r="AG95" i="5"/>
  <c r="AF95" i="5"/>
  <c r="AE95" i="5"/>
  <c r="AD95" i="5"/>
  <c r="AC95" i="5"/>
  <c r="AB95" i="5"/>
  <c r="AA95" i="5"/>
  <c r="Y95" i="5"/>
  <c r="X95" i="5"/>
  <c r="W95" i="5"/>
  <c r="V95" i="5"/>
  <c r="U95" i="5"/>
  <c r="T95" i="5"/>
  <c r="S95" i="5"/>
  <c r="Q95" i="5"/>
  <c r="R95" i="5" s="1"/>
  <c r="P95" i="5"/>
  <c r="O95" i="5"/>
  <c r="G95" i="5"/>
  <c r="F95" i="5"/>
  <c r="E95" i="5"/>
  <c r="Z95" i="5" s="1"/>
  <c r="AH95" i="5" s="1"/>
  <c r="AG94" i="5"/>
  <c r="AF94" i="5"/>
  <c r="AE94" i="5"/>
  <c r="AD94" i="5"/>
  <c r="AC94" i="5"/>
  <c r="AB94" i="5"/>
  <c r="AA94" i="5"/>
  <c r="Z94" i="5"/>
  <c r="AH94" i="5" s="1"/>
  <c r="Y94" i="5"/>
  <c r="X94" i="5"/>
  <c r="W94" i="5"/>
  <c r="V94" i="5"/>
  <c r="U94" i="5"/>
  <c r="T94" i="5"/>
  <c r="S94" i="5"/>
  <c r="Q94" i="5"/>
  <c r="P94" i="5"/>
  <c r="O94" i="5"/>
  <c r="G94" i="5"/>
  <c r="F94" i="5"/>
  <c r="E94" i="5"/>
  <c r="AG93" i="5"/>
  <c r="AF93" i="5"/>
  <c r="AE93" i="5"/>
  <c r="AD93" i="5"/>
  <c r="AC93" i="5"/>
  <c r="AB93" i="5"/>
  <c r="AA93" i="5"/>
  <c r="Z93" i="5"/>
  <c r="AH93" i="5" s="1"/>
  <c r="Y93" i="5"/>
  <c r="V93" i="5"/>
  <c r="U93" i="5"/>
  <c r="T93" i="5"/>
  <c r="S93" i="5"/>
  <c r="Q93" i="5"/>
  <c r="P93" i="5"/>
  <c r="O93" i="5"/>
  <c r="R93" i="5" s="1"/>
  <c r="G93" i="5"/>
  <c r="F93" i="5"/>
  <c r="E93" i="5"/>
  <c r="AG92" i="5"/>
  <c r="AF92" i="5"/>
  <c r="AE92" i="5"/>
  <c r="AD92" i="5"/>
  <c r="AC92" i="5"/>
  <c r="Z92" i="5" s="1"/>
  <c r="AH92" i="5" s="1"/>
  <c r="AB92" i="5"/>
  <c r="AA92" i="5"/>
  <c r="Y92" i="5"/>
  <c r="V92" i="5"/>
  <c r="W92" i="5" s="1"/>
  <c r="X92" i="5" s="1"/>
  <c r="U92" i="5"/>
  <c r="T92" i="5"/>
  <c r="S92" i="5"/>
  <c r="Q92" i="5"/>
  <c r="P92" i="5"/>
  <c r="O92" i="5"/>
  <c r="R92" i="5" s="1"/>
  <c r="G92" i="5"/>
  <c r="F92" i="5"/>
  <c r="E92" i="5"/>
  <c r="AG91" i="5"/>
  <c r="AF91" i="5"/>
  <c r="AE91" i="5"/>
  <c r="AD91" i="5"/>
  <c r="AC91" i="5"/>
  <c r="Z91" i="5" s="1"/>
  <c r="AH91" i="5" s="1"/>
  <c r="AB91" i="5"/>
  <c r="AA91" i="5"/>
  <c r="Y91" i="5"/>
  <c r="V91" i="5"/>
  <c r="U91" i="5"/>
  <c r="T91" i="5"/>
  <c r="S91" i="5"/>
  <c r="Q91" i="5"/>
  <c r="P91" i="5"/>
  <c r="O91" i="5"/>
  <c r="R91" i="5" s="1"/>
  <c r="G91" i="5"/>
  <c r="F91" i="5"/>
  <c r="E91" i="5"/>
  <c r="AG90" i="5"/>
  <c r="AF90" i="5"/>
  <c r="AE90" i="5"/>
  <c r="AD90" i="5"/>
  <c r="AC90" i="5"/>
  <c r="Z90" i="5" s="1"/>
  <c r="AH90" i="5" s="1"/>
  <c r="AB90" i="5"/>
  <c r="AA90" i="5"/>
  <c r="Y90" i="5"/>
  <c r="V90" i="5"/>
  <c r="U90" i="5"/>
  <c r="T90" i="5"/>
  <c r="S90" i="5"/>
  <c r="Q90" i="5"/>
  <c r="P90" i="5"/>
  <c r="O90" i="5"/>
  <c r="R90" i="5" s="1"/>
  <c r="G90" i="5"/>
  <c r="F90" i="5"/>
  <c r="E90" i="5"/>
  <c r="AG89" i="5"/>
  <c r="AF89" i="5"/>
  <c r="AE89" i="5"/>
  <c r="AD89" i="5"/>
  <c r="AC89" i="5"/>
  <c r="AB89" i="5"/>
  <c r="AA89" i="5"/>
  <c r="Y89" i="5"/>
  <c r="V89" i="5"/>
  <c r="W89" i="5" s="1"/>
  <c r="X89" i="5" s="1"/>
  <c r="U89" i="5"/>
  <c r="T89" i="5"/>
  <c r="S89" i="5"/>
  <c r="R89" i="5"/>
  <c r="Q89" i="5"/>
  <c r="P89" i="5"/>
  <c r="O89" i="5"/>
  <c r="G89" i="5"/>
  <c r="F89" i="5"/>
  <c r="E89" i="5"/>
  <c r="AG88" i="5"/>
  <c r="AF88" i="5"/>
  <c r="AE88" i="5"/>
  <c r="AD88" i="5"/>
  <c r="AC88" i="5"/>
  <c r="Z88" i="5" s="1"/>
  <c r="AH88" i="5" s="1"/>
  <c r="AB88" i="5"/>
  <c r="AA88" i="5"/>
  <c r="Y88" i="5"/>
  <c r="X88" i="5"/>
  <c r="W88" i="5"/>
  <c r="V88" i="5"/>
  <c r="U88" i="5"/>
  <c r="T88" i="5"/>
  <c r="S88" i="5"/>
  <c r="R88" i="5"/>
  <c r="Q88" i="5"/>
  <c r="P88" i="5"/>
  <c r="O88" i="5"/>
  <c r="G88" i="5"/>
  <c r="F88" i="5"/>
  <c r="E88" i="5"/>
  <c r="AG87" i="5"/>
  <c r="AF87" i="5"/>
  <c r="AE87" i="5"/>
  <c r="AD87" i="5"/>
  <c r="AC87" i="5"/>
  <c r="AB87" i="5"/>
  <c r="AA87" i="5"/>
  <c r="Z87" i="5"/>
  <c r="AH87" i="5" s="1"/>
  <c r="Y87" i="5"/>
  <c r="V87" i="5"/>
  <c r="U87" i="5"/>
  <c r="W87" i="5" s="1"/>
  <c r="X87" i="5" s="1"/>
  <c r="T87" i="5"/>
  <c r="S87" i="5"/>
  <c r="Q87" i="5"/>
  <c r="P87" i="5"/>
  <c r="O87" i="5"/>
  <c r="R87" i="5" s="1"/>
  <c r="G87" i="5"/>
  <c r="F87" i="5"/>
  <c r="E87" i="5"/>
  <c r="AG86" i="5"/>
  <c r="AF86" i="5"/>
  <c r="AE86" i="5"/>
  <c r="AD86" i="5"/>
  <c r="AC86" i="5"/>
  <c r="Z86" i="5" s="1"/>
  <c r="AH86" i="5" s="1"/>
  <c r="AB86" i="5"/>
  <c r="AA86" i="5"/>
  <c r="Y86" i="5"/>
  <c r="V86" i="5"/>
  <c r="W86" i="5" s="1"/>
  <c r="U86" i="5"/>
  <c r="T86" i="5"/>
  <c r="S86" i="5"/>
  <c r="Q86" i="5"/>
  <c r="P86" i="5"/>
  <c r="R86" i="5" s="1"/>
  <c r="O86" i="5"/>
  <c r="G86" i="5"/>
  <c r="F86" i="5"/>
  <c r="E86" i="5"/>
  <c r="AH85" i="5"/>
  <c r="AG85" i="5"/>
  <c r="AF85" i="5"/>
  <c r="AE85" i="5"/>
  <c r="AD85" i="5"/>
  <c r="AC85" i="5"/>
  <c r="Z85" i="5" s="1"/>
  <c r="AB85" i="5"/>
  <c r="AA85" i="5"/>
  <c r="Y85" i="5"/>
  <c r="W85" i="5"/>
  <c r="X85" i="5" s="1"/>
  <c r="V85" i="5"/>
  <c r="U85" i="5"/>
  <c r="T85" i="5"/>
  <c r="S85" i="5"/>
  <c r="Q85" i="5"/>
  <c r="P85" i="5"/>
  <c r="R85" i="5" s="1"/>
  <c r="O85" i="5"/>
  <c r="G85" i="5"/>
  <c r="F85" i="5"/>
  <c r="E85" i="5"/>
  <c r="AG84" i="5"/>
  <c r="AF84" i="5"/>
  <c r="AE84" i="5"/>
  <c r="AD84" i="5"/>
  <c r="AC84" i="5"/>
  <c r="Z84" i="5" s="1"/>
  <c r="AH84" i="5" s="1"/>
  <c r="AB84" i="5"/>
  <c r="AA84" i="5"/>
  <c r="Y84" i="5"/>
  <c r="W84" i="5"/>
  <c r="V84" i="5"/>
  <c r="U84" i="5"/>
  <c r="T84" i="5"/>
  <c r="S84" i="5"/>
  <c r="Q84" i="5"/>
  <c r="P84" i="5"/>
  <c r="O84" i="5"/>
  <c r="R84" i="5" s="1"/>
  <c r="G84" i="5"/>
  <c r="F84" i="5"/>
  <c r="E84" i="5"/>
  <c r="AG83" i="5"/>
  <c r="AF83" i="5"/>
  <c r="AE83" i="5"/>
  <c r="AD83" i="5"/>
  <c r="AC83" i="5"/>
  <c r="AB83" i="5"/>
  <c r="AA83" i="5"/>
  <c r="Y83" i="5"/>
  <c r="V83" i="5"/>
  <c r="U83" i="5"/>
  <c r="T83" i="5"/>
  <c r="S83" i="5"/>
  <c r="Q83" i="5"/>
  <c r="P83" i="5"/>
  <c r="R83" i="5" s="1"/>
  <c r="O83" i="5"/>
  <c r="G83" i="5"/>
  <c r="F83" i="5"/>
  <c r="E83" i="5"/>
  <c r="Z83" i="5" s="1"/>
  <c r="AH83" i="5" s="1"/>
  <c r="AG82" i="5"/>
  <c r="AF82" i="5"/>
  <c r="AE82" i="5"/>
  <c r="AD82" i="5"/>
  <c r="AC82" i="5"/>
  <c r="AB82" i="5"/>
  <c r="AA82" i="5"/>
  <c r="Y82" i="5"/>
  <c r="V82" i="5"/>
  <c r="U82" i="5"/>
  <c r="T82" i="5"/>
  <c r="S82" i="5"/>
  <c r="R82" i="5"/>
  <c r="Q82" i="5"/>
  <c r="P82" i="5"/>
  <c r="O82" i="5"/>
  <c r="G82" i="5"/>
  <c r="F82" i="5"/>
  <c r="E82" i="5"/>
  <c r="AG81" i="5"/>
  <c r="AF81" i="5"/>
  <c r="AE81" i="5"/>
  <c r="AD81" i="5"/>
  <c r="AC81" i="5"/>
  <c r="AB81" i="5"/>
  <c r="AA81" i="5"/>
  <c r="Y81" i="5"/>
  <c r="V81" i="5"/>
  <c r="U81" i="5"/>
  <c r="T81" i="5"/>
  <c r="S81" i="5"/>
  <c r="R81" i="5"/>
  <c r="Q81" i="5"/>
  <c r="P81" i="5"/>
  <c r="O81" i="5"/>
  <c r="G81" i="5"/>
  <c r="F81" i="5"/>
  <c r="E81" i="5"/>
  <c r="Z81" i="5" s="1"/>
  <c r="AH81" i="5" s="1"/>
  <c r="AG80" i="5"/>
  <c r="AF80" i="5"/>
  <c r="AE80" i="5"/>
  <c r="AD80" i="5"/>
  <c r="AC80" i="5"/>
  <c r="AB80" i="5"/>
  <c r="AA80" i="5"/>
  <c r="Z80" i="5"/>
  <c r="AH80" i="5" s="1"/>
  <c r="Y80" i="5"/>
  <c r="V80" i="5"/>
  <c r="U80" i="5"/>
  <c r="T80" i="5"/>
  <c r="S80" i="5"/>
  <c r="Q80" i="5"/>
  <c r="P80" i="5"/>
  <c r="O80" i="5"/>
  <c r="G80" i="5"/>
  <c r="F80" i="5"/>
  <c r="E80" i="5"/>
  <c r="AG79" i="5"/>
  <c r="AF79" i="5"/>
  <c r="AE79" i="5"/>
  <c r="AD79" i="5"/>
  <c r="AC79" i="5"/>
  <c r="AB79" i="5"/>
  <c r="AA79" i="5"/>
  <c r="Z79" i="5"/>
  <c r="AH79" i="5" s="1"/>
  <c r="Y79" i="5"/>
  <c r="X79" i="5"/>
  <c r="W79" i="5"/>
  <c r="V79" i="5"/>
  <c r="U79" i="5"/>
  <c r="T79" i="5"/>
  <c r="S79" i="5"/>
  <c r="Q79" i="5"/>
  <c r="R79" i="5" s="1"/>
  <c r="P79" i="5"/>
  <c r="O79" i="5"/>
  <c r="G79" i="5"/>
  <c r="F79" i="5"/>
  <c r="E79" i="5"/>
  <c r="AG78" i="5"/>
  <c r="AF78" i="5"/>
  <c r="AE78" i="5"/>
  <c r="AD78" i="5"/>
  <c r="AC78" i="5"/>
  <c r="AB78" i="5"/>
  <c r="AA78" i="5"/>
  <c r="Z78" i="5"/>
  <c r="AH78" i="5" s="1"/>
  <c r="Y78" i="5"/>
  <c r="X78" i="5"/>
  <c r="W78" i="5"/>
  <c r="V78" i="5"/>
  <c r="U78" i="5"/>
  <c r="T78" i="5"/>
  <c r="S78" i="5"/>
  <c r="Q78" i="5"/>
  <c r="P78" i="5"/>
  <c r="O78" i="5"/>
  <c r="R78" i="5" s="1"/>
  <c r="G78" i="5"/>
  <c r="F78" i="5"/>
  <c r="E78" i="5"/>
  <c r="AG77" i="5"/>
  <c r="AF77" i="5"/>
  <c r="AE77" i="5"/>
  <c r="AD77" i="5"/>
  <c r="AC77" i="5"/>
  <c r="AB77" i="5"/>
  <c r="AA77" i="5"/>
  <c r="Z77" i="5"/>
  <c r="AH77" i="5" s="1"/>
  <c r="Y77" i="5"/>
  <c r="V77" i="5"/>
  <c r="U77" i="5"/>
  <c r="W77" i="5" s="1"/>
  <c r="T77" i="5"/>
  <c r="S77" i="5"/>
  <c r="Q77" i="5"/>
  <c r="P77" i="5"/>
  <c r="O77" i="5"/>
  <c r="R77" i="5" s="1"/>
  <c r="G77" i="5"/>
  <c r="F77" i="5"/>
  <c r="E77" i="5"/>
  <c r="AG76" i="5"/>
  <c r="AF76" i="5"/>
  <c r="AE76" i="5"/>
  <c r="AD76" i="5"/>
  <c r="AC76" i="5"/>
  <c r="Z76" i="5" s="1"/>
  <c r="AH76" i="5" s="1"/>
  <c r="AB76" i="5"/>
  <c r="AA76" i="5"/>
  <c r="Y76" i="5"/>
  <c r="W76" i="5"/>
  <c r="X76" i="5" s="1"/>
  <c r="V76" i="5"/>
  <c r="U76" i="5"/>
  <c r="T76" i="5"/>
  <c r="S76" i="5"/>
  <c r="Q76" i="5"/>
  <c r="P76" i="5"/>
  <c r="O76" i="5"/>
  <c r="R76" i="5" s="1"/>
  <c r="G76" i="5"/>
  <c r="F76" i="5"/>
  <c r="E76" i="5"/>
  <c r="AG75" i="5"/>
  <c r="AF75" i="5"/>
  <c r="AE75" i="5"/>
  <c r="AD75" i="5"/>
  <c r="AC75" i="5"/>
  <c r="Z75" i="5" s="1"/>
  <c r="AH75" i="5" s="1"/>
  <c r="AB75" i="5"/>
  <c r="AA75" i="5"/>
  <c r="Y75" i="5"/>
  <c r="V75" i="5"/>
  <c r="U75" i="5"/>
  <c r="T75" i="5"/>
  <c r="S75" i="5"/>
  <c r="Q75" i="5"/>
  <c r="P75" i="5"/>
  <c r="O75" i="5"/>
  <c r="R75" i="5" s="1"/>
  <c r="G75" i="5"/>
  <c r="F75" i="5"/>
  <c r="E75" i="5"/>
  <c r="AG74" i="5"/>
  <c r="AF74" i="5"/>
  <c r="AE74" i="5"/>
  <c r="AD74" i="5"/>
  <c r="AC74" i="5"/>
  <c r="Z74" i="5" s="1"/>
  <c r="AH74" i="5" s="1"/>
  <c r="AB74" i="5"/>
  <c r="AA74" i="5"/>
  <c r="Y74" i="5"/>
  <c r="V74" i="5"/>
  <c r="U74" i="5"/>
  <c r="T74" i="5"/>
  <c r="S74" i="5"/>
  <c r="Q74" i="5"/>
  <c r="P74" i="5"/>
  <c r="O74" i="5"/>
  <c r="R74" i="5" s="1"/>
  <c r="G74" i="5"/>
  <c r="F74" i="5"/>
  <c r="E74" i="5"/>
  <c r="AH73" i="5"/>
  <c r="AG73" i="5"/>
  <c r="AF73" i="5"/>
  <c r="AE73" i="5"/>
  <c r="AD73" i="5"/>
  <c r="AC73" i="5"/>
  <c r="Z73" i="5" s="1"/>
  <c r="AB73" i="5"/>
  <c r="AA73" i="5"/>
  <c r="Y73" i="5"/>
  <c r="V73" i="5"/>
  <c r="W73" i="5" s="1"/>
  <c r="X73" i="5" s="1"/>
  <c r="U73" i="5"/>
  <c r="T73" i="5"/>
  <c r="S73" i="5"/>
  <c r="Q73" i="5"/>
  <c r="R73" i="5" s="1"/>
  <c r="P73" i="5"/>
  <c r="O73" i="5"/>
  <c r="G73" i="5"/>
  <c r="F73" i="5"/>
  <c r="E73" i="5"/>
  <c r="AG72" i="5"/>
  <c r="AF72" i="5"/>
  <c r="AE72" i="5"/>
  <c r="AD72" i="5"/>
  <c r="AC72" i="5"/>
  <c r="Z72" i="5" s="1"/>
  <c r="AH72" i="5" s="1"/>
  <c r="AB72" i="5"/>
  <c r="AA72" i="5"/>
  <c r="Y72" i="5"/>
  <c r="X72" i="5"/>
  <c r="W72" i="5"/>
  <c r="V72" i="5"/>
  <c r="U72" i="5"/>
  <c r="T72" i="5"/>
  <c r="S72" i="5"/>
  <c r="R72" i="5"/>
  <c r="Q72" i="5"/>
  <c r="P72" i="5"/>
  <c r="O72" i="5"/>
  <c r="G72" i="5"/>
  <c r="F72" i="5"/>
  <c r="E72" i="5"/>
  <c r="AH71" i="5"/>
  <c r="AG71" i="5"/>
  <c r="AF71" i="5"/>
  <c r="AE71" i="5"/>
  <c r="AD71" i="5"/>
  <c r="AC71" i="5"/>
  <c r="AB71" i="5"/>
  <c r="AA71" i="5"/>
  <c r="Z71" i="5"/>
  <c r="Y71" i="5"/>
  <c r="V71" i="5"/>
  <c r="U71" i="5"/>
  <c r="W71" i="5" s="1"/>
  <c r="X71" i="5" s="1"/>
  <c r="T71" i="5"/>
  <c r="S71" i="5"/>
  <c r="Q71" i="5"/>
  <c r="P71" i="5"/>
  <c r="O71" i="5"/>
  <c r="R71" i="5" s="1"/>
  <c r="G71" i="5"/>
  <c r="F71" i="5"/>
  <c r="E71" i="5"/>
  <c r="AH70" i="5"/>
  <c r="AG70" i="5"/>
  <c r="AF70" i="5"/>
  <c r="AE70" i="5"/>
  <c r="AD70" i="5"/>
  <c r="AC70" i="5"/>
  <c r="Z70" i="5" s="1"/>
  <c r="AB70" i="5"/>
  <c r="AA70" i="5"/>
  <c r="Y70" i="5"/>
  <c r="V70" i="5"/>
  <c r="W70" i="5" s="1"/>
  <c r="U70" i="5"/>
  <c r="T70" i="5"/>
  <c r="S70" i="5"/>
  <c r="Q70" i="5"/>
  <c r="P70" i="5"/>
  <c r="R70" i="5" s="1"/>
  <c r="O70" i="5"/>
  <c r="G70" i="5"/>
  <c r="F70" i="5"/>
  <c r="E70" i="5"/>
  <c r="AG69" i="5"/>
  <c r="AF69" i="5"/>
  <c r="AE69" i="5"/>
  <c r="AD69" i="5"/>
  <c r="AC69" i="5"/>
  <c r="Z69" i="5" s="1"/>
  <c r="AH69" i="5" s="1"/>
  <c r="AB69" i="5"/>
  <c r="AA69" i="5"/>
  <c r="Y69" i="5"/>
  <c r="W69" i="5"/>
  <c r="X69" i="5" s="1"/>
  <c r="V69" i="5"/>
  <c r="U69" i="5"/>
  <c r="T69" i="5"/>
  <c r="S69" i="5"/>
  <c r="Q69" i="5"/>
  <c r="P69" i="5"/>
  <c r="R69" i="5" s="1"/>
  <c r="O69" i="5"/>
  <c r="G69" i="5"/>
  <c r="F69" i="5"/>
  <c r="E69" i="5"/>
  <c r="AG68" i="5"/>
  <c r="AF68" i="5"/>
  <c r="AE68" i="5"/>
  <c r="AD68" i="5"/>
  <c r="AC68" i="5"/>
  <c r="Z68" i="5" s="1"/>
  <c r="AH68" i="5" s="1"/>
  <c r="AB68" i="5"/>
  <c r="AA68" i="5"/>
  <c r="Y68" i="5"/>
  <c r="V68" i="5"/>
  <c r="U68" i="5"/>
  <c r="T68" i="5"/>
  <c r="S68" i="5"/>
  <c r="Q68" i="5"/>
  <c r="P68" i="5"/>
  <c r="O68" i="5"/>
  <c r="R68" i="5" s="1"/>
  <c r="G68" i="5"/>
  <c r="F68" i="5"/>
  <c r="E68" i="5"/>
  <c r="AG67" i="5"/>
  <c r="AF67" i="5"/>
  <c r="AE67" i="5"/>
  <c r="AD67" i="5"/>
  <c r="AC67" i="5"/>
  <c r="AB67" i="5"/>
  <c r="AA67" i="5"/>
  <c r="Y67" i="5"/>
  <c r="W67" i="5"/>
  <c r="V67" i="5"/>
  <c r="U67" i="5"/>
  <c r="T67" i="5"/>
  <c r="S67" i="5"/>
  <c r="Q67" i="5"/>
  <c r="P67" i="5"/>
  <c r="R67" i="5" s="1"/>
  <c r="O67" i="5"/>
  <c r="G67" i="5"/>
  <c r="F67" i="5"/>
  <c r="E67" i="5"/>
  <c r="Z67" i="5" s="1"/>
  <c r="AH67" i="5" s="1"/>
  <c r="AH66" i="5"/>
  <c r="AG66" i="5"/>
  <c r="AF66" i="5"/>
  <c r="AE66" i="5"/>
  <c r="AD66" i="5"/>
  <c r="AC66" i="5"/>
  <c r="Z66" i="5" s="1"/>
  <c r="AB66" i="5"/>
  <c r="AA66" i="5"/>
  <c r="Y66" i="5"/>
  <c r="V66" i="5"/>
  <c r="U66" i="5"/>
  <c r="T66" i="5"/>
  <c r="S66" i="5"/>
  <c r="R66" i="5"/>
  <c r="Q66" i="5"/>
  <c r="P66" i="5"/>
  <c r="O66" i="5"/>
  <c r="G66" i="5"/>
  <c r="F66" i="5"/>
  <c r="E66" i="5"/>
  <c r="AG65" i="5"/>
  <c r="AF65" i="5"/>
  <c r="AE65" i="5"/>
  <c r="AD65" i="5"/>
  <c r="AC65" i="5"/>
  <c r="AB65" i="5"/>
  <c r="AA65" i="5"/>
  <c r="Z65" i="5"/>
  <c r="AH65" i="5" s="1"/>
  <c r="Y65" i="5"/>
  <c r="V65" i="5"/>
  <c r="U65" i="5"/>
  <c r="T65" i="5"/>
  <c r="S65" i="5"/>
  <c r="R65" i="5"/>
  <c r="Q65" i="5"/>
  <c r="P65" i="5"/>
  <c r="O65" i="5"/>
  <c r="G65" i="5"/>
  <c r="F65" i="5"/>
  <c r="E65" i="5"/>
  <c r="AG64" i="5"/>
  <c r="AF64" i="5"/>
  <c r="AE64" i="5"/>
  <c r="AD64" i="5"/>
  <c r="AC64" i="5"/>
  <c r="AB64" i="5"/>
  <c r="AA64" i="5"/>
  <c r="Y64" i="5"/>
  <c r="V64" i="5"/>
  <c r="U64" i="5"/>
  <c r="T64" i="5"/>
  <c r="S64" i="5"/>
  <c r="Q64" i="5"/>
  <c r="P64" i="5"/>
  <c r="O64" i="5"/>
  <c r="R64" i="5" s="1"/>
  <c r="G64" i="5"/>
  <c r="F64" i="5"/>
  <c r="E64" i="5"/>
  <c r="Z64" i="5" s="1"/>
  <c r="AH64" i="5" s="1"/>
  <c r="AH63" i="5"/>
  <c r="AG63" i="5"/>
  <c r="AF63" i="5"/>
  <c r="AE63" i="5"/>
  <c r="AD63" i="5"/>
  <c r="AC63" i="5"/>
  <c r="AB63" i="5"/>
  <c r="AA63" i="5"/>
  <c r="Z63" i="5"/>
  <c r="Y63" i="5"/>
  <c r="X63" i="5"/>
  <c r="W63" i="5"/>
  <c r="V63" i="5"/>
  <c r="U63" i="5"/>
  <c r="T63" i="5"/>
  <c r="S63" i="5"/>
  <c r="Q63" i="5"/>
  <c r="R63" i="5" s="1"/>
  <c r="P63" i="5"/>
  <c r="O63" i="5"/>
  <c r="G63" i="5"/>
  <c r="F63" i="5"/>
  <c r="E63" i="5"/>
  <c r="AG62" i="5"/>
  <c r="AF62" i="5"/>
  <c r="AE62" i="5"/>
  <c r="AD62" i="5"/>
  <c r="AC62" i="5"/>
  <c r="AB62" i="5"/>
  <c r="AA62" i="5"/>
  <c r="Z62" i="5"/>
  <c r="AH62" i="5" s="1"/>
  <c r="Y62" i="5"/>
  <c r="X62" i="5"/>
  <c r="W62" i="5"/>
  <c r="V62" i="5"/>
  <c r="U62" i="5"/>
  <c r="T62" i="5"/>
  <c r="S62" i="5"/>
  <c r="Q62" i="5"/>
  <c r="P62" i="5"/>
  <c r="O62" i="5"/>
  <c r="R62" i="5" s="1"/>
  <c r="G62" i="5"/>
  <c r="F62" i="5"/>
  <c r="E62" i="5"/>
  <c r="AG61" i="5"/>
  <c r="AF61" i="5"/>
  <c r="AE61" i="5"/>
  <c r="AD61" i="5"/>
  <c r="AC61" i="5"/>
  <c r="AB61" i="5"/>
  <c r="AA61" i="5"/>
  <c r="Z61" i="5"/>
  <c r="AH61" i="5" s="1"/>
  <c r="Y61" i="5"/>
  <c r="X61" i="5"/>
  <c r="V61" i="5"/>
  <c r="U61" i="5"/>
  <c r="W61" i="5" s="1"/>
  <c r="T61" i="5"/>
  <c r="S61" i="5"/>
  <c r="Q61" i="5"/>
  <c r="P61" i="5"/>
  <c r="O61" i="5"/>
  <c r="G61" i="5"/>
  <c r="F61" i="5"/>
  <c r="E61" i="5"/>
  <c r="AG60" i="5"/>
  <c r="AF60" i="5"/>
  <c r="AE60" i="5"/>
  <c r="AD60" i="5"/>
  <c r="AC60" i="5"/>
  <c r="AB60" i="5"/>
  <c r="AA60" i="5"/>
  <c r="Y60" i="5"/>
  <c r="W60" i="5"/>
  <c r="X60" i="5" s="1"/>
  <c r="V60" i="5"/>
  <c r="U60" i="5"/>
  <c r="T60" i="5"/>
  <c r="S60" i="5"/>
  <c r="Q60" i="5"/>
  <c r="P60" i="5"/>
  <c r="O60" i="5"/>
  <c r="G60" i="5"/>
  <c r="F60" i="5"/>
  <c r="E60" i="5"/>
  <c r="AG59" i="5"/>
  <c r="AF59" i="5"/>
  <c r="AE59" i="5"/>
  <c r="AD59" i="5"/>
  <c r="AC59" i="5"/>
  <c r="Z59" i="5" s="1"/>
  <c r="AH59" i="5" s="1"/>
  <c r="AB59" i="5"/>
  <c r="AA59" i="5"/>
  <c r="Y59" i="5"/>
  <c r="V59" i="5"/>
  <c r="U59" i="5"/>
  <c r="W59" i="5" s="1"/>
  <c r="X59" i="5" s="1"/>
  <c r="T59" i="5"/>
  <c r="S59" i="5"/>
  <c r="R59" i="5"/>
  <c r="Q59" i="5"/>
  <c r="P59" i="5"/>
  <c r="O59" i="5"/>
  <c r="G59" i="5"/>
  <c r="F59" i="5"/>
  <c r="E59" i="5"/>
  <c r="AG58" i="5"/>
  <c r="AF58" i="5"/>
  <c r="AE58" i="5"/>
  <c r="AD58" i="5"/>
  <c r="AC58" i="5"/>
  <c r="AB58" i="5"/>
  <c r="AA58" i="5"/>
  <c r="Z58" i="5"/>
  <c r="AH58" i="5" s="1"/>
  <c r="Y58" i="5"/>
  <c r="V58" i="5"/>
  <c r="U58" i="5"/>
  <c r="T58" i="5"/>
  <c r="S58" i="5"/>
  <c r="Q58" i="5"/>
  <c r="P58" i="5"/>
  <c r="O58" i="5"/>
  <c r="R58" i="5" s="1"/>
  <c r="G58" i="5"/>
  <c r="F58" i="5"/>
  <c r="E58" i="5"/>
  <c r="AG57" i="5"/>
  <c r="AF57" i="5"/>
  <c r="AE57" i="5"/>
  <c r="AD57" i="5"/>
  <c r="AC57" i="5"/>
  <c r="AB57" i="5"/>
  <c r="AA57" i="5"/>
  <c r="Y57" i="5"/>
  <c r="V57" i="5"/>
  <c r="W57" i="5" s="1"/>
  <c r="X57" i="5" s="1"/>
  <c r="U57" i="5"/>
  <c r="T57" i="5"/>
  <c r="S57" i="5"/>
  <c r="Q57" i="5"/>
  <c r="P57" i="5"/>
  <c r="R57" i="5" s="1"/>
  <c r="O57" i="5"/>
  <c r="G57" i="5"/>
  <c r="F57" i="5"/>
  <c r="E57" i="5"/>
  <c r="AH56" i="5"/>
  <c r="AG56" i="5"/>
  <c r="AF56" i="5"/>
  <c r="AE56" i="5"/>
  <c r="AD56" i="5"/>
  <c r="AC56" i="5"/>
  <c r="Z56" i="5" s="1"/>
  <c r="AB56" i="5"/>
  <c r="AA56" i="5"/>
  <c r="Y56" i="5"/>
  <c r="W56" i="5"/>
  <c r="X56" i="5" s="1"/>
  <c r="V56" i="5"/>
  <c r="U56" i="5"/>
  <c r="T56" i="5"/>
  <c r="S56" i="5"/>
  <c r="R56" i="5"/>
  <c r="Q56" i="5"/>
  <c r="P56" i="5"/>
  <c r="O56" i="5"/>
  <c r="G56" i="5"/>
  <c r="F56" i="5"/>
  <c r="E56" i="5"/>
  <c r="AH55" i="5"/>
  <c r="AG55" i="5"/>
  <c r="AF55" i="5"/>
  <c r="AE55" i="5"/>
  <c r="AD55" i="5"/>
  <c r="AC55" i="5"/>
  <c r="AB55" i="5"/>
  <c r="AA55" i="5"/>
  <c r="Z55" i="5"/>
  <c r="Y55" i="5"/>
  <c r="V55" i="5"/>
  <c r="U55" i="5"/>
  <c r="W55" i="5" s="1"/>
  <c r="X55" i="5" s="1"/>
  <c r="T55" i="5"/>
  <c r="S55" i="5"/>
  <c r="Q55" i="5"/>
  <c r="P55" i="5"/>
  <c r="R55" i="5" s="1"/>
  <c r="O55" i="5"/>
  <c r="G55" i="5"/>
  <c r="F55" i="5"/>
  <c r="E55" i="5"/>
  <c r="AG54" i="5"/>
  <c r="AF54" i="5"/>
  <c r="AE54" i="5"/>
  <c r="AD54" i="5"/>
  <c r="AC54" i="5"/>
  <c r="Z54" i="5" s="1"/>
  <c r="AH54" i="5" s="1"/>
  <c r="AB54" i="5"/>
  <c r="AA54" i="5"/>
  <c r="Y54" i="5"/>
  <c r="V54" i="5"/>
  <c r="U54" i="5"/>
  <c r="T54" i="5"/>
  <c r="S54" i="5"/>
  <c r="Q54" i="5"/>
  <c r="P54" i="5"/>
  <c r="R54" i="5" s="1"/>
  <c r="O54" i="5"/>
  <c r="G54" i="5"/>
  <c r="F54" i="5"/>
  <c r="E54" i="5"/>
  <c r="AG53" i="5"/>
  <c r="AF53" i="5"/>
  <c r="AE53" i="5"/>
  <c r="AD53" i="5"/>
  <c r="AC53" i="5"/>
  <c r="AB53" i="5"/>
  <c r="AA53" i="5"/>
  <c r="Y53" i="5"/>
  <c r="W53" i="5"/>
  <c r="X53" i="5" s="1"/>
  <c r="V53" i="5"/>
  <c r="U53" i="5"/>
  <c r="T53" i="5"/>
  <c r="S53" i="5"/>
  <c r="R53" i="5"/>
  <c r="Q53" i="5"/>
  <c r="P53" i="5"/>
  <c r="O53" i="5"/>
  <c r="G53" i="5"/>
  <c r="F53" i="5"/>
  <c r="E53" i="5"/>
  <c r="AG52" i="5"/>
  <c r="AF52" i="5"/>
  <c r="AE52" i="5"/>
  <c r="AD52" i="5"/>
  <c r="AC52" i="5"/>
  <c r="Z52" i="5" s="1"/>
  <c r="AH52" i="5" s="1"/>
  <c r="AB52" i="5"/>
  <c r="AA52" i="5"/>
  <c r="Y52" i="5"/>
  <c r="V52" i="5"/>
  <c r="U52" i="5"/>
  <c r="T52" i="5"/>
  <c r="S52" i="5"/>
  <c r="Q52" i="5"/>
  <c r="P52" i="5"/>
  <c r="O52" i="5"/>
  <c r="G52" i="5"/>
  <c r="F52" i="5"/>
  <c r="E52" i="5"/>
  <c r="AG51" i="5"/>
  <c r="AF51" i="5"/>
  <c r="AE51" i="5"/>
  <c r="AD51" i="5"/>
  <c r="AC51" i="5"/>
  <c r="AB51" i="5"/>
  <c r="AA51" i="5"/>
  <c r="Z51" i="5"/>
  <c r="AH51" i="5" s="1"/>
  <c r="Y51" i="5"/>
  <c r="V51" i="5"/>
  <c r="U51" i="5"/>
  <c r="T51" i="5"/>
  <c r="S51" i="5"/>
  <c r="Q51" i="5"/>
  <c r="P51" i="5"/>
  <c r="R51" i="5" s="1"/>
  <c r="O51" i="5"/>
  <c r="G51" i="5"/>
  <c r="F51" i="5"/>
  <c r="E51" i="5"/>
  <c r="AG50" i="5"/>
  <c r="AF50" i="5"/>
  <c r="AE50" i="5"/>
  <c r="AD50" i="5"/>
  <c r="AC50" i="5"/>
  <c r="Z50" i="5" s="1"/>
  <c r="AH50" i="5" s="1"/>
  <c r="AB50" i="5"/>
  <c r="AA50" i="5"/>
  <c r="Y50" i="5"/>
  <c r="W50" i="5"/>
  <c r="V50" i="5"/>
  <c r="U50" i="5"/>
  <c r="T50" i="5"/>
  <c r="S50" i="5"/>
  <c r="R50" i="5"/>
  <c r="Q50" i="5"/>
  <c r="P50" i="5"/>
  <c r="O50" i="5"/>
  <c r="G50" i="5"/>
  <c r="F50" i="5"/>
  <c r="E50" i="5"/>
  <c r="AH49" i="5"/>
  <c r="AG49" i="5"/>
  <c r="AF49" i="5"/>
  <c r="AE49" i="5"/>
  <c r="AD49" i="5"/>
  <c r="AC49" i="5"/>
  <c r="AB49" i="5"/>
  <c r="AA49" i="5"/>
  <c r="Z49" i="5"/>
  <c r="Y49" i="5"/>
  <c r="V49" i="5"/>
  <c r="U49" i="5"/>
  <c r="W49" i="5" s="1"/>
  <c r="T49" i="5"/>
  <c r="S49" i="5"/>
  <c r="R49" i="5"/>
  <c r="Q49" i="5"/>
  <c r="P49" i="5"/>
  <c r="O49" i="5"/>
  <c r="G49" i="5"/>
  <c r="F49" i="5"/>
  <c r="E49" i="5"/>
  <c r="AG48" i="5"/>
  <c r="AF48" i="5"/>
  <c r="AE48" i="5"/>
  <c r="AD48" i="5"/>
  <c r="AC48" i="5"/>
  <c r="AB48" i="5"/>
  <c r="AA48" i="5"/>
  <c r="Z48" i="5"/>
  <c r="AH48" i="5" s="1"/>
  <c r="Y48" i="5"/>
  <c r="V48" i="5"/>
  <c r="U48" i="5"/>
  <c r="T48" i="5"/>
  <c r="S48" i="5"/>
  <c r="Q48" i="5"/>
  <c r="P48" i="5"/>
  <c r="O48" i="5"/>
  <c r="G48" i="5"/>
  <c r="F48" i="5"/>
  <c r="E48" i="5"/>
  <c r="AG47" i="5"/>
  <c r="AF47" i="5"/>
  <c r="AE47" i="5"/>
  <c r="AD47" i="5"/>
  <c r="AC47" i="5"/>
  <c r="AB47" i="5"/>
  <c r="AA47" i="5"/>
  <c r="Z47" i="5"/>
  <c r="AH47" i="5" s="1"/>
  <c r="Y47" i="5"/>
  <c r="W47" i="5"/>
  <c r="X47" i="5" s="1"/>
  <c r="V47" i="5"/>
  <c r="U47" i="5"/>
  <c r="T47" i="5"/>
  <c r="S47" i="5"/>
  <c r="R47" i="5"/>
  <c r="Q47" i="5"/>
  <c r="P47" i="5"/>
  <c r="O47" i="5"/>
  <c r="G47" i="5"/>
  <c r="F47" i="5"/>
  <c r="E47" i="5"/>
  <c r="AG46" i="5"/>
  <c r="AF46" i="5"/>
  <c r="AE46" i="5"/>
  <c r="AD46" i="5"/>
  <c r="AC46" i="5"/>
  <c r="Z46" i="5" s="1"/>
  <c r="AH46" i="5" s="1"/>
  <c r="AB46" i="5"/>
  <c r="AA46" i="5"/>
  <c r="Y46" i="5"/>
  <c r="X46" i="5"/>
  <c r="W46" i="5"/>
  <c r="V46" i="5"/>
  <c r="U46" i="5"/>
  <c r="T46" i="5"/>
  <c r="S46" i="5"/>
  <c r="Q46" i="5"/>
  <c r="P46" i="5"/>
  <c r="O46" i="5"/>
  <c r="R46" i="5" s="1"/>
  <c r="G46" i="5"/>
  <c r="F46" i="5"/>
  <c r="E46" i="5"/>
  <c r="AG45" i="5"/>
  <c r="AF45" i="5"/>
  <c r="AE45" i="5"/>
  <c r="AD45" i="5"/>
  <c r="AC45" i="5"/>
  <c r="AB45" i="5"/>
  <c r="AA45" i="5"/>
  <c r="Z45" i="5"/>
  <c r="AH45" i="5" s="1"/>
  <c r="Y45" i="5"/>
  <c r="X45" i="5"/>
  <c r="V45" i="5"/>
  <c r="U45" i="5"/>
  <c r="W45" i="5" s="1"/>
  <c r="T45" i="5"/>
  <c r="S45" i="5"/>
  <c r="Q45" i="5"/>
  <c r="P45" i="5"/>
  <c r="O45" i="5"/>
  <c r="G45" i="5"/>
  <c r="F45" i="5"/>
  <c r="E45" i="5"/>
  <c r="AG44" i="5"/>
  <c r="AF44" i="5"/>
  <c r="AE44" i="5"/>
  <c r="AD44" i="5"/>
  <c r="AC44" i="5"/>
  <c r="Z44" i="5" s="1"/>
  <c r="AH44" i="5" s="1"/>
  <c r="AB44" i="5"/>
  <c r="AA44" i="5"/>
  <c r="Y44" i="5"/>
  <c r="V44" i="5"/>
  <c r="U44" i="5"/>
  <c r="T44" i="5"/>
  <c r="S44" i="5"/>
  <c r="Q44" i="5"/>
  <c r="P44" i="5"/>
  <c r="O44" i="5"/>
  <c r="R44" i="5" s="1"/>
  <c r="G44" i="5"/>
  <c r="F44" i="5"/>
  <c r="E44" i="5"/>
  <c r="AG43" i="5"/>
  <c r="AF43" i="5"/>
  <c r="AE43" i="5"/>
  <c r="AD43" i="5"/>
  <c r="AC43" i="5"/>
  <c r="Z43" i="5" s="1"/>
  <c r="AH43" i="5" s="1"/>
  <c r="AB43" i="5"/>
  <c r="AA43" i="5"/>
  <c r="Y43" i="5"/>
  <c r="V43" i="5"/>
  <c r="U43" i="5"/>
  <c r="W43" i="5" s="1"/>
  <c r="X43" i="5" s="1"/>
  <c r="T43" i="5"/>
  <c r="S43" i="5"/>
  <c r="Q43" i="5"/>
  <c r="P43" i="5"/>
  <c r="O43" i="5"/>
  <c r="R43" i="5" s="1"/>
  <c r="G43" i="5"/>
  <c r="F43" i="5"/>
  <c r="E43" i="5"/>
  <c r="AG42" i="5"/>
  <c r="AF42" i="5"/>
  <c r="AE42" i="5"/>
  <c r="AD42" i="5"/>
  <c r="AC42" i="5"/>
  <c r="AB42" i="5"/>
  <c r="AA42" i="5"/>
  <c r="Z42" i="5"/>
  <c r="AH42" i="5" s="1"/>
  <c r="Y42" i="5"/>
  <c r="V42" i="5"/>
  <c r="U42" i="5"/>
  <c r="T42" i="5"/>
  <c r="S42" i="5"/>
  <c r="Q42" i="5"/>
  <c r="P42" i="5"/>
  <c r="O42" i="5"/>
  <c r="R42" i="5" s="1"/>
  <c r="G42" i="5"/>
  <c r="F42" i="5"/>
  <c r="E42" i="5"/>
  <c r="AG41" i="5"/>
  <c r="AF41" i="5"/>
  <c r="AE41" i="5"/>
  <c r="AD41" i="5"/>
  <c r="AC41" i="5"/>
  <c r="AB41" i="5"/>
  <c r="AA41" i="5"/>
  <c r="Z41" i="5"/>
  <c r="AH41" i="5" s="1"/>
  <c r="Y41" i="5"/>
  <c r="V41" i="5"/>
  <c r="W41" i="5" s="1"/>
  <c r="X41" i="5" s="1"/>
  <c r="U41" i="5"/>
  <c r="T41" i="5"/>
  <c r="S41" i="5"/>
  <c r="Q41" i="5"/>
  <c r="R41" i="5" s="1"/>
  <c r="P41" i="5"/>
  <c r="O41" i="5"/>
  <c r="G41" i="5"/>
  <c r="F41" i="5"/>
  <c r="E41" i="5"/>
  <c r="AG40" i="5"/>
  <c r="AF40" i="5"/>
  <c r="AE40" i="5"/>
  <c r="AD40" i="5"/>
  <c r="AC40" i="5"/>
  <c r="Z40" i="5" s="1"/>
  <c r="AH40" i="5" s="1"/>
  <c r="AB40" i="5"/>
  <c r="AA40" i="5"/>
  <c r="Y40" i="5"/>
  <c r="W40" i="5"/>
  <c r="X40" i="5" s="1"/>
  <c r="V40" i="5"/>
  <c r="U40" i="5"/>
  <c r="T40" i="5"/>
  <c r="S40" i="5"/>
  <c r="R40" i="5"/>
  <c r="Q40" i="5"/>
  <c r="P40" i="5"/>
  <c r="O40" i="5"/>
  <c r="G40" i="5"/>
  <c r="F40" i="5"/>
  <c r="E40" i="5"/>
  <c r="AH39" i="5"/>
  <c r="AG39" i="5"/>
  <c r="AF39" i="5"/>
  <c r="AE39" i="5"/>
  <c r="AD39" i="5"/>
  <c r="AC39" i="5"/>
  <c r="AB39" i="5"/>
  <c r="AA39" i="5"/>
  <c r="Z39" i="5"/>
  <c r="Y39" i="5"/>
  <c r="V39" i="5"/>
  <c r="U39" i="5"/>
  <c r="W39" i="5" s="1"/>
  <c r="X39" i="5" s="1"/>
  <c r="T39" i="5"/>
  <c r="S39" i="5"/>
  <c r="Q39" i="5"/>
  <c r="P39" i="5"/>
  <c r="O39" i="5"/>
  <c r="R39" i="5" s="1"/>
  <c r="G39" i="5"/>
  <c r="F39" i="5"/>
  <c r="E39" i="5"/>
  <c r="AG38" i="5"/>
  <c r="AF38" i="5"/>
  <c r="AE38" i="5"/>
  <c r="AD38" i="5"/>
  <c r="AC38" i="5"/>
  <c r="Z38" i="5" s="1"/>
  <c r="AH38" i="5" s="1"/>
  <c r="AB38" i="5"/>
  <c r="AA38" i="5"/>
  <c r="Y38" i="5"/>
  <c r="V38" i="5"/>
  <c r="U38" i="5"/>
  <c r="T38" i="5"/>
  <c r="S38" i="5"/>
  <c r="R38" i="5"/>
  <c r="Q38" i="5"/>
  <c r="P38" i="5"/>
  <c r="O38" i="5"/>
  <c r="G38" i="5"/>
  <c r="F38" i="5"/>
  <c r="E38" i="5"/>
  <c r="AG37" i="5"/>
  <c r="AF37" i="5"/>
  <c r="AE37" i="5"/>
  <c r="AD37" i="5"/>
  <c r="AC37" i="5"/>
  <c r="AB37" i="5"/>
  <c r="AA37" i="5"/>
  <c r="Y37" i="5"/>
  <c r="V37" i="5"/>
  <c r="W37" i="5" s="1"/>
  <c r="X37" i="5" s="1"/>
  <c r="U37" i="5"/>
  <c r="T37" i="5"/>
  <c r="S37" i="5"/>
  <c r="Q37" i="5"/>
  <c r="P37" i="5"/>
  <c r="R37" i="5" s="1"/>
  <c r="O37" i="5"/>
  <c r="G37" i="5"/>
  <c r="F37" i="5"/>
  <c r="E37" i="5"/>
  <c r="AG36" i="5"/>
  <c r="AF36" i="5"/>
  <c r="AE36" i="5"/>
  <c r="AD36" i="5"/>
  <c r="AC36" i="5"/>
  <c r="Z36" i="5" s="1"/>
  <c r="AH36" i="5" s="1"/>
  <c r="AB36" i="5"/>
  <c r="AA36" i="5"/>
  <c r="Y36" i="5"/>
  <c r="W36" i="5"/>
  <c r="V36" i="5"/>
  <c r="U36" i="5"/>
  <c r="T36" i="5"/>
  <c r="S36" i="5"/>
  <c r="Q36" i="5"/>
  <c r="P36" i="5"/>
  <c r="O36" i="5"/>
  <c r="R36" i="5" s="1"/>
  <c r="G36" i="5"/>
  <c r="F36" i="5"/>
  <c r="E36" i="5"/>
  <c r="AG35" i="5"/>
  <c r="AF35" i="5"/>
  <c r="AE35" i="5"/>
  <c r="AD35" i="5"/>
  <c r="AC35" i="5"/>
  <c r="AB35" i="5"/>
  <c r="AA35" i="5"/>
  <c r="Z35" i="5"/>
  <c r="AH35" i="5" s="1"/>
  <c r="Y35" i="5"/>
  <c r="V35" i="5"/>
  <c r="W35" i="5" s="1"/>
  <c r="U35" i="5"/>
  <c r="T35" i="5"/>
  <c r="S35" i="5"/>
  <c r="Q35" i="5"/>
  <c r="P35" i="5"/>
  <c r="R35" i="5" s="1"/>
  <c r="O35" i="5"/>
  <c r="G35" i="5"/>
  <c r="F35" i="5"/>
  <c r="E35" i="5"/>
  <c r="AG34" i="5"/>
  <c r="AF34" i="5"/>
  <c r="AE34" i="5"/>
  <c r="AD34" i="5"/>
  <c r="AC34" i="5"/>
  <c r="Z34" i="5" s="1"/>
  <c r="AH34" i="5" s="1"/>
  <c r="AB34" i="5"/>
  <c r="AA34" i="5"/>
  <c r="Y34" i="5"/>
  <c r="W34" i="5"/>
  <c r="V34" i="5"/>
  <c r="U34" i="5"/>
  <c r="T34" i="5"/>
  <c r="S34" i="5"/>
  <c r="Q34" i="5"/>
  <c r="R34" i="5" s="1"/>
  <c r="P34" i="5"/>
  <c r="O34" i="5"/>
  <c r="G34" i="5"/>
  <c r="F34" i="5"/>
  <c r="E34" i="5"/>
  <c r="AG33" i="5"/>
  <c r="AF33" i="5"/>
  <c r="AE33" i="5"/>
  <c r="AD33" i="5"/>
  <c r="AC33" i="5"/>
  <c r="AB33" i="5"/>
  <c r="AA33" i="5"/>
  <c r="Y33" i="5"/>
  <c r="V33" i="5"/>
  <c r="U33" i="5"/>
  <c r="W33" i="5" s="1"/>
  <c r="T33" i="5"/>
  <c r="S33" i="5"/>
  <c r="R33" i="5"/>
  <c r="Q33" i="5"/>
  <c r="P33" i="5"/>
  <c r="O33" i="5"/>
  <c r="G33" i="5"/>
  <c r="F33" i="5"/>
  <c r="E33" i="5"/>
  <c r="Z33" i="5" s="1"/>
  <c r="AH33" i="5" s="1"/>
  <c r="AG32" i="5"/>
  <c r="AF32" i="5"/>
  <c r="AE32" i="5"/>
  <c r="AD32" i="5"/>
  <c r="AC32" i="5"/>
  <c r="AB32" i="5"/>
  <c r="AA32" i="5"/>
  <c r="Z32" i="5"/>
  <c r="AH32" i="5" s="1"/>
  <c r="Y32" i="5"/>
  <c r="V32" i="5"/>
  <c r="U32" i="5"/>
  <c r="T32" i="5"/>
  <c r="S32" i="5"/>
  <c r="Q32" i="5"/>
  <c r="P32" i="5"/>
  <c r="O32" i="5"/>
  <c r="R32" i="5" s="1"/>
  <c r="G32" i="5"/>
  <c r="F32" i="5"/>
  <c r="E32" i="5"/>
  <c r="AG31" i="5"/>
  <c r="AF31" i="5"/>
  <c r="AE31" i="5"/>
  <c r="AD31" i="5"/>
  <c r="AC31" i="5"/>
  <c r="AB31" i="5"/>
  <c r="AA31" i="5"/>
  <c r="Z31" i="5"/>
  <c r="AH31" i="5" s="1"/>
  <c r="Y31" i="5"/>
  <c r="V31" i="5"/>
  <c r="W31" i="5" s="1"/>
  <c r="X31" i="5" s="1"/>
  <c r="U31" i="5"/>
  <c r="T31" i="5"/>
  <c r="S31" i="5"/>
  <c r="Q31" i="5"/>
  <c r="P31" i="5"/>
  <c r="R31" i="5" s="1"/>
  <c r="O31" i="5"/>
  <c r="G31" i="5"/>
  <c r="F31" i="5"/>
  <c r="E31" i="5"/>
  <c r="AG30" i="5"/>
  <c r="AF30" i="5"/>
  <c r="AE30" i="5"/>
  <c r="AD30" i="5"/>
  <c r="AC30" i="5"/>
  <c r="AB30" i="5"/>
  <c r="AA30" i="5"/>
  <c r="Z30" i="5"/>
  <c r="AH30" i="5" s="1"/>
  <c r="Y30" i="5"/>
  <c r="W30" i="5"/>
  <c r="X30" i="5" s="1"/>
  <c r="V30" i="5"/>
  <c r="U30" i="5"/>
  <c r="T30" i="5"/>
  <c r="S30" i="5"/>
  <c r="Q30" i="5"/>
  <c r="P30" i="5"/>
  <c r="O30" i="5"/>
  <c r="R30" i="5" s="1"/>
  <c r="G30" i="5"/>
  <c r="F30" i="5"/>
  <c r="E30" i="5"/>
  <c r="AG29" i="5"/>
  <c r="AF29" i="5"/>
  <c r="AE29" i="5"/>
  <c r="AD29" i="5"/>
  <c r="AC29" i="5"/>
  <c r="AB29" i="5"/>
  <c r="AA29" i="5"/>
  <c r="Z29" i="5"/>
  <c r="AH29" i="5" s="1"/>
  <c r="Y29" i="5"/>
  <c r="V29" i="5"/>
  <c r="U29" i="5"/>
  <c r="T29" i="5"/>
  <c r="S29" i="5"/>
  <c r="Q29" i="5"/>
  <c r="P29" i="5"/>
  <c r="O29" i="5"/>
  <c r="R29" i="5" s="1"/>
  <c r="G29" i="5"/>
  <c r="F29" i="5"/>
  <c r="E29" i="5"/>
  <c r="AG28" i="5"/>
  <c r="AF28" i="5"/>
  <c r="AE28" i="5"/>
  <c r="AD28" i="5"/>
  <c r="AC28" i="5"/>
  <c r="AB28" i="5"/>
  <c r="AA28" i="5"/>
  <c r="Y28" i="5"/>
  <c r="V28" i="5"/>
  <c r="U28" i="5"/>
  <c r="T28" i="5"/>
  <c r="S28" i="5"/>
  <c r="Q28" i="5"/>
  <c r="P28" i="5"/>
  <c r="O28" i="5"/>
  <c r="G28" i="5"/>
  <c r="F28" i="5"/>
  <c r="E28" i="5"/>
  <c r="AG27" i="5"/>
  <c r="AF27" i="5"/>
  <c r="AE27" i="5"/>
  <c r="AD27" i="5"/>
  <c r="AC27" i="5"/>
  <c r="AB27" i="5"/>
  <c r="AA27" i="5"/>
  <c r="Y27" i="5"/>
  <c r="V27" i="5"/>
  <c r="U27" i="5"/>
  <c r="T27" i="5"/>
  <c r="S27" i="5"/>
  <c r="R27" i="5"/>
  <c r="Q27" i="5"/>
  <c r="P27" i="5"/>
  <c r="O27" i="5"/>
  <c r="G27" i="5"/>
  <c r="F27" i="5"/>
  <c r="E27" i="5"/>
  <c r="AG26" i="5"/>
  <c r="AF26" i="5"/>
  <c r="AE26" i="5"/>
  <c r="AD26" i="5"/>
  <c r="AC26" i="5"/>
  <c r="Z26" i="5" s="1"/>
  <c r="AH26" i="5" s="1"/>
  <c r="AB26" i="5"/>
  <c r="AA26" i="5"/>
  <c r="Y26" i="5"/>
  <c r="V26" i="5"/>
  <c r="U26" i="5"/>
  <c r="T26" i="5"/>
  <c r="S26" i="5"/>
  <c r="Q26" i="5"/>
  <c r="P26" i="5"/>
  <c r="O26" i="5"/>
  <c r="R26" i="5" s="1"/>
  <c r="G26" i="5"/>
  <c r="F26" i="5"/>
  <c r="E26" i="5"/>
  <c r="AG25" i="5"/>
  <c r="AF25" i="5"/>
  <c r="AE25" i="5"/>
  <c r="AD25" i="5"/>
  <c r="AC25" i="5"/>
  <c r="Z25" i="5" s="1"/>
  <c r="AH25" i="5" s="1"/>
  <c r="AB25" i="5"/>
  <c r="AA25" i="5"/>
  <c r="Y25" i="5"/>
  <c r="V25" i="5"/>
  <c r="W25" i="5" s="1"/>
  <c r="X25" i="5" s="1"/>
  <c r="U25" i="5"/>
  <c r="T25" i="5"/>
  <c r="S25" i="5"/>
  <c r="Q25" i="5"/>
  <c r="P25" i="5"/>
  <c r="R25" i="5" s="1"/>
  <c r="O25" i="5"/>
  <c r="G25" i="5"/>
  <c r="F25" i="5"/>
  <c r="E25" i="5"/>
  <c r="AG24" i="5"/>
  <c r="AF24" i="5"/>
  <c r="AE24" i="5"/>
  <c r="AD24" i="5"/>
  <c r="AC24" i="5"/>
  <c r="Z24" i="5" s="1"/>
  <c r="AH24" i="5" s="1"/>
  <c r="AB24" i="5"/>
  <c r="AA24" i="5"/>
  <c r="Y24" i="5"/>
  <c r="X24" i="5"/>
  <c r="W24" i="5"/>
  <c r="V24" i="5"/>
  <c r="U24" i="5"/>
  <c r="T24" i="5"/>
  <c r="S24" i="5"/>
  <c r="R24" i="5"/>
  <c r="Q24" i="5"/>
  <c r="P24" i="5"/>
  <c r="O24" i="5"/>
  <c r="G24" i="5"/>
  <c r="F24" i="5"/>
  <c r="E24" i="5"/>
  <c r="AH23" i="5"/>
  <c r="AG23" i="5"/>
  <c r="AF23" i="5"/>
  <c r="AE23" i="5"/>
  <c r="AD23" i="5"/>
  <c r="AC23" i="5"/>
  <c r="AB23" i="5"/>
  <c r="AA23" i="5"/>
  <c r="Z23" i="5"/>
  <c r="Y23" i="5"/>
  <c r="V23" i="5"/>
  <c r="U23" i="5"/>
  <c r="W23" i="5" s="1"/>
  <c r="X23" i="5" s="1"/>
  <c r="T23" i="5"/>
  <c r="S23" i="5"/>
  <c r="Q23" i="5"/>
  <c r="P23" i="5"/>
  <c r="R23" i="5" s="1"/>
  <c r="O23" i="5"/>
  <c r="G23" i="5"/>
  <c r="F23" i="5"/>
  <c r="E23" i="5"/>
  <c r="AH22" i="5"/>
  <c r="AG22" i="5"/>
  <c r="AF22" i="5"/>
  <c r="AE22" i="5"/>
  <c r="AD22" i="5"/>
  <c r="AC22" i="5"/>
  <c r="Z22" i="5" s="1"/>
  <c r="AB22" i="5"/>
  <c r="AA22" i="5"/>
  <c r="Y22" i="5"/>
  <c r="V22" i="5"/>
  <c r="U22" i="5"/>
  <c r="T22" i="5"/>
  <c r="S22" i="5"/>
  <c r="Q22" i="5"/>
  <c r="P22" i="5"/>
  <c r="O22" i="5"/>
  <c r="R22" i="5" s="1"/>
  <c r="G22" i="5"/>
  <c r="F22" i="5"/>
  <c r="E22" i="5"/>
  <c r="AG21" i="5"/>
  <c r="AF21" i="5"/>
  <c r="AE21" i="5"/>
  <c r="AD21" i="5"/>
  <c r="AC21" i="5"/>
  <c r="Z21" i="5" s="1"/>
  <c r="AH21" i="5" s="1"/>
  <c r="AB21" i="5"/>
  <c r="AA21" i="5"/>
  <c r="Y21" i="5"/>
  <c r="W21" i="5"/>
  <c r="X21" i="5" s="1"/>
  <c r="V21" i="5"/>
  <c r="U21" i="5"/>
  <c r="T21" i="5"/>
  <c r="S21" i="5"/>
  <c r="Q21" i="5"/>
  <c r="P21" i="5"/>
  <c r="R21" i="5" s="1"/>
  <c r="O21" i="5"/>
  <c r="G21" i="5"/>
  <c r="F21" i="5"/>
  <c r="E21" i="5"/>
  <c r="AG20" i="5"/>
  <c r="AF20" i="5"/>
  <c r="AE20" i="5"/>
  <c r="AD20" i="5"/>
  <c r="AC20" i="5"/>
  <c r="Z20" i="5" s="1"/>
  <c r="AH20" i="5" s="1"/>
  <c r="AB20" i="5"/>
  <c r="AA20" i="5"/>
  <c r="Y20" i="5"/>
  <c r="V20" i="5"/>
  <c r="U20" i="5"/>
  <c r="T20" i="5"/>
  <c r="S20" i="5"/>
  <c r="Q20" i="5"/>
  <c r="P20" i="5"/>
  <c r="O20" i="5"/>
  <c r="R20" i="5" s="1"/>
  <c r="G20" i="5"/>
  <c r="F20" i="5"/>
  <c r="E20" i="5"/>
  <c r="AG19" i="5"/>
  <c r="AF19" i="5"/>
  <c r="AE19" i="5"/>
  <c r="AD19" i="5"/>
  <c r="AC19" i="5"/>
  <c r="AB19" i="5"/>
  <c r="AA19" i="5"/>
  <c r="Y19" i="5"/>
  <c r="V19" i="5"/>
  <c r="U19" i="5"/>
  <c r="T19" i="5"/>
  <c r="S19" i="5"/>
  <c r="Q19" i="5"/>
  <c r="P19" i="5"/>
  <c r="R19" i="5" s="1"/>
  <c r="O19" i="5"/>
  <c r="G19" i="5"/>
  <c r="F19" i="5"/>
  <c r="E19" i="5"/>
  <c r="Z19" i="5" s="1"/>
  <c r="AH19" i="5" s="1"/>
  <c r="AG18" i="5"/>
  <c r="AF18" i="5"/>
  <c r="AE18" i="5"/>
  <c r="AD18" i="5"/>
  <c r="AC18" i="5"/>
  <c r="AB18" i="5"/>
  <c r="AA18" i="5"/>
  <c r="Y18" i="5"/>
  <c r="V18" i="5"/>
  <c r="U18" i="5"/>
  <c r="W18" i="5" s="1"/>
  <c r="T18" i="5"/>
  <c r="S18" i="5"/>
  <c r="Q18" i="5"/>
  <c r="R18" i="5" s="1"/>
  <c r="P18" i="5"/>
  <c r="O18" i="5"/>
  <c r="G18" i="5"/>
  <c r="F18" i="5"/>
  <c r="E18" i="5"/>
  <c r="AG17" i="5"/>
  <c r="AF17" i="5"/>
  <c r="AE17" i="5"/>
  <c r="AD17" i="5"/>
  <c r="AC17" i="5"/>
  <c r="AB17" i="5"/>
  <c r="AA17" i="5"/>
  <c r="Z17" i="5"/>
  <c r="AH17" i="5" s="1"/>
  <c r="Y17" i="5"/>
  <c r="X17" i="5"/>
  <c r="V17" i="5"/>
  <c r="U17" i="5"/>
  <c r="W17" i="5" s="1"/>
  <c r="T17" i="5"/>
  <c r="S17" i="5"/>
  <c r="R17" i="5"/>
  <c r="Q17" i="5"/>
  <c r="P17" i="5"/>
  <c r="O17" i="5"/>
  <c r="G17" i="5"/>
  <c r="F17" i="5"/>
  <c r="E17" i="5"/>
  <c r="AG16" i="5"/>
  <c r="AF16" i="5"/>
  <c r="AE16" i="5"/>
  <c r="AD16" i="5"/>
  <c r="AC16" i="5"/>
  <c r="AB16" i="5"/>
  <c r="AA16" i="5"/>
  <c r="Y16" i="5"/>
  <c r="V16" i="5"/>
  <c r="U16" i="5"/>
  <c r="T16" i="5"/>
  <c r="S16" i="5"/>
  <c r="Q16" i="5"/>
  <c r="P16" i="5"/>
  <c r="O16" i="5"/>
  <c r="R16" i="5" s="1"/>
  <c r="G16" i="5"/>
  <c r="F16" i="5"/>
  <c r="E16" i="5"/>
  <c r="Z16" i="5" s="1"/>
  <c r="AH16" i="5" s="1"/>
  <c r="AG15" i="5"/>
  <c r="AF15" i="5"/>
  <c r="AE15" i="5"/>
  <c r="AD15" i="5"/>
  <c r="AC15" i="5"/>
  <c r="AB15" i="5"/>
  <c r="AA15" i="5"/>
  <c r="Z15" i="5"/>
  <c r="AH15" i="5" s="1"/>
  <c r="Y15" i="5"/>
  <c r="W15" i="5"/>
  <c r="X15" i="5" s="1"/>
  <c r="V15" i="5"/>
  <c r="U15" i="5"/>
  <c r="T15" i="5"/>
  <c r="S15" i="5"/>
  <c r="Q15" i="5"/>
  <c r="P15" i="5"/>
  <c r="R15" i="5" s="1"/>
  <c r="O15" i="5"/>
  <c r="G15" i="5"/>
  <c r="F15" i="5"/>
  <c r="E15" i="5"/>
  <c r="AG14" i="5"/>
  <c r="AF14" i="5"/>
  <c r="AE14" i="5"/>
  <c r="AD14" i="5"/>
  <c r="AC14" i="5"/>
  <c r="Z14" i="5" s="1"/>
  <c r="AH14" i="5" s="1"/>
  <c r="AB14" i="5"/>
  <c r="AA14" i="5"/>
  <c r="Y14" i="5"/>
  <c r="W14" i="5"/>
  <c r="X14" i="5" s="1"/>
  <c r="V14" i="5"/>
  <c r="U14" i="5"/>
  <c r="T14" i="5"/>
  <c r="S14" i="5"/>
  <c r="Q14" i="5"/>
  <c r="P14" i="5"/>
  <c r="O14" i="5"/>
  <c r="R14" i="5" s="1"/>
  <c r="G14" i="5"/>
  <c r="F14" i="5"/>
  <c r="E14" i="5"/>
  <c r="AG13" i="5"/>
  <c r="AF13" i="5"/>
  <c r="AE13" i="5"/>
  <c r="AD13" i="5"/>
  <c r="AC13" i="5"/>
  <c r="AB13" i="5"/>
  <c r="AA13" i="5"/>
  <c r="Z13" i="5"/>
  <c r="AH13" i="5" s="1"/>
  <c r="Y13" i="5"/>
  <c r="V13" i="5"/>
  <c r="U13" i="5"/>
  <c r="T13" i="5"/>
  <c r="S13" i="5"/>
  <c r="Q13" i="5"/>
  <c r="P13" i="5"/>
  <c r="O13" i="5"/>
  <c r="R13" i="5" s="1"/>
  <c r="G13" i="5"/>
  <c r="F13" i="5"/>
  <c r="E13" i="5"/>
  <c r="AG12" i="5"/>
  <c r="AF12" i="5"/>
  <c r="AE12" i="5"/>
  <c r="AD12" i="5"/>
  <c r="AC12" i="5"/>
  <c r="AB12" i="5"/>
  <c r="AA12" i="5"/>
  <c r="Y12" i="5"/>
  <c r="V12" i="5"/>
  <c r="U12" i="5"/>
  <c r="T12" i="5"/>
  <c r="S12" i="5"/>
  <c r="Q12" i="5"/>
  <c r="P12" i="5"/>
  <c r="O12" i="5"/>
  <c r="G12" i="5"/>
  <c r="F12" i="5"/>
  <c r="E12" i="5"/>
  <c r="AG11" i="5"/>
  <c r="AF11" i="5"/>
  <c r="AE11" i="5"/>
  <c r="AD11" i="5"/>
  <c r="AC11" i="5"/>
  <c r="AB11" i="5"/>
  <c r="AA11" i="5"/>
  <c r="Y11" i="5"/>
  <c r="V11" i="5"/>
  <c r="U11" i="5"/>
  <c r="T11" i="5"/>
  <c r="S11" i="5"/>
  <c r="R11" i="5"/>
  <c r="Q11" i="5"/>
  <c r="P11" i="5"/>
  <c r="O11" i="5"/>
  <c r="G11" i="5"/>
  <c r="F11" i="5"/>
  <c r="E11" i="5"/>
  <c r="AG10" i="5"/>
  <c r="AF10" i="5"/>
  <c r="AE10" i="5"/>
  <c r="AD10" i="5"/>
  <c r="AC10" i="5"/>
  <c r="Z10" i="5" s="1"/>
  <c r="AH10" i="5" s="1"/>
  <c r="AB10" i="5"/>
  <c r="AA10" i="5"/>
  <c r="Y10" i="5"/>
  <c r="V10" i="5"/>
  <c r="U10" i="5"/>
  <c r="T10" i="5"/>
  <c r="S10" i="5"/>
  <c r="Q10" i="5"/>
  <c r="P10" i="5"/>
  <c r="O10" i="5"/>
  <c r="R10" i="5" s="1"/>
  <c r="G10" i="5"/>
  <c r="F10" i="5"/>
  <c r="E10" i="5"/>
  <c r="AG9" i="5"/>
  <c r="AF9" i="5"/>
  <c r="AE9" i="5"/>
  <c r="AD9" i="5"/>
  <c r="AC9" i="5"/>
  <c r="Z9" i="5" s="1"/>
  <c r="AH9" i="5" s="1"/>
  <c r="AB9" i="5"/>
  <c r="AA9" i="5"/>
  <c r="Y9" i="5"/>
  <c r="V9" i="5"/>
  <c r="W9" i="5" s="1"/>
  <c r="X9" i="5" s="1"/>
  <c r="U9" i="5"/>
  <c r="T9" i="5"/>
  <c r="S9" i="5"/>
  <c r="B12" i="1" s="1"/>
  <c r="I31" i="1" s="1"/>
  <c r="Q9" i="5"/>
  <c r="R9" i="5" s="1"/>
  <c r="P9" i="5"/>
  <c r="O9" i="5"/>
  <c r="G9" i="5"/>
  <c r="F9" i="5"/>
  <c r="E9" i="5"/>
  <c r="AG8" i="5"/>
  <c r="AF8" i="5"/>
  <c r="AE8" i="5"/>
  <c r="AD8" i="5"/>
  <c r="AC8" i="5"/>
  <c r="AB8" i="5"/>
  <c r="AA8" i="5"/>
  <c r="Z8" i="5"/>
  <c r="AH8" i="5" s="1"/>
  <c r="Y8" i="5"/>
  <c r="X8" i="5"/>
  <c r="W8" i="5"/>
  <c r="V8" i="5"/>
  <c r="U8" i="5"/>
  <c r="T8" i="5"/>
  <c r="S8" i="5"/>
  <c r="R8" i="5"/>
  <c r="Q8" i="5"/>
  <c r="P8" i="5"/>
  <c r="O8" i="5"/>
  <c r="G8" i="5"/>
  <c r="F8" i="5"/>
  <c r="E8" i="5"/>
  <c r="AH7" i="5"/>
  <c r="AG7" i="5"/>
  <c r="AF7" i="5"/>
  <c r="AE7" i="5"/>
  <c r="AD7" i="5"/>
  <c r="AC7" i="5"/>
  <c r="AB7" i="5"/>
  <c r="AA7" i="5"/>
  <c r="Z7" i="5"/>
  <c r="Y7" i="5"/>
  <c r="X7" i="5"/>
  <c r="V7" i="5"/>
  <c r="U7" i="5"/>
  <c r="W7" i="5" s="1"/>
  <c r="T7" i="5"/>
  <c r="S7" i="5"/>
  <c r="Q7" i="5"/>
  <c r="P7" i="5"/>
  <c r="O7" i="5"/>
  <c r="R7" i="5" s="1"/>
  <c r="G7" i="5"/>
  <c r="F7" i="5"/>
  <c r="E7" i="5"/>
  <c r="AG6" i="5"/>
  <c r="AF6" i="5"/>
  <c r="AE6" i="5"/>
  <c r="AD6" i="5"/>
  <c r="AC6" i="5"/>
  <c r="AB6" i="5"/>
  <c r="AA6" i="5"/>
  <c r="Y6" i="5"/>
  <c r="V6" i="5"/>
  <c r="U6" i="5"/>
  <c r="T6" i="5"/>
  <c r="S6" i="5"/>
  <c r="R6" i="5"/>
  <c r="Q6" i="5"/>
  <c r="P6" i="5"/>
  <c r="O6" i="5"/>
  <c r="G6" i="5"/>
  <c r="F6" i="5"/>
  <c r="E6" i="5"/>
  <c r="S24" i="4"/>
  <c r="Q24" i="4"/>
  <c r="O24" i="4"/>
  <c r="K24" i="4"/>
  <c r="E24" i="4"/>
  <c r="B24" i="4" s="1"/>
  <c r="D24" i="4"/>
  <c r="C24" i="4"/>
  <c r="S23" i="4"/>
  <c r="Q23" i="4"/>
  <c r="O23" i="4"/>
  <c r="K23" i="4"/>
  <c r="E23" i="4"/>
  <c r="B23" i="4" s="1"/>
  <c r="D23" i="4"/>
  <c r="C23" i="4"/>
  <c r="S22" i="4"/>
  <c r="Q22" i="4"/>
  <c r="O22" i="4"/>
  <c r="K22" i="4"/>
  <c r="E22" i="4"/>
  <c r="B22" i="4" s="1"/>
  <c r="D22" i="4"/>
  <c r="C22" i="4"/>
  <c r="S21" i="4"/>
  <c r="R21" i="4"/>
  <c r="T21" i="4" s="1"/>
  <c r="Q21" i="4"/>
  <c r="O21" i="4"/>
  <c r="K21" i="4"/>
  <c r="E21" i="4"/>
  <c r="D21" i="4"/>
  <c r="C21" i="4"/>
  <c r="B21" i="4"/>
  <c r="T20" i="4"/>
  <c r="S20" i="4"/>
  <c r="Q20" i="4"/>
  <c r="O20" i="4"/>
  <c r="K20" i="4"/>
  <c r="E20" i="4"/>
  <c r="D20" i="4"/>
  <c r="C20" i="4"/>
  <c r="B20" i="4"/>
  <c r="R20" i="4" s="1"/>
  <c r="S19" i="4"/>
  <c r="Q19" i="4"/>
  <c r="O19" i="4"/>
  <c r="K19" i="4"/>
  <c r="E19" i="4"/>
  <c r="B19" i="4" s="1"/>
  <c r="D19" i="4"/>
  <c r="C19" i="4"/>
  <c r="S18" i="4"/>
  <c r="Q18" i="4"/>
  <c r="O18" i="4"/>
  <c r="K18" i="4"/>
  <c r="E18" i="4"/>
  <c r="B18" i="4" s="1"/>
  <c r="L18" i="4" s="1"/>
  <c r="D18" i="4"/>
  <c r="C18" i="4"/>
  <c r="S17" i="4"/>
  <c r="Q17" i="4"/>
  <c r="O17" i="4"/>
  <c r="K17" i="4"/>
  <c r="E17" i="4"/>
  <c r="B17" i="4" s="1"/>
  <c r="D17" i="4"/>
  <c r="C17" i="4"/>
  <c r="S16" i="4"/>
  <c r="Q16" i="4"/>
  <c r="O16" i="4"/>
  <c r="K16" i="4"/>
  <c r="E16" i="4"/>
  <c r="B16" i="4" s="1"/>
  <c r="D16" i="4"/>
  <c r="C16" i="4"/>
  <c r="S15" i="4"/>
  <c r="Q15" i="4"/>
  <c r="O15" i="4"/>
  <c r="K15" i="4"/>
  <c r="E15" i="4"/>
  <c r="B15" i="4" s="1"/>
  <c r="D15" i="4"/>
  <c r="C15" i="4"/>
  <c r="S14" i="4"/>
  <c r="Q14" i="4"/>
  <c r="O14" i="4"/>
  <c r="K14" i="4"/>
  <c r="E14" i="4"/>
  <c r="D14" i="4"/>
  <c r="C14" i="4"/>
  <c r="B14" i="4"/>
  <c r="S13" i="4"/>
  <c r="Q13" i="4"/>
  <c r="O13" i="4"/>
  <c r="K13" i="4"/>
  <c r="E13" i="4"/>
  <c r="B13" i="4" s="1"/>
  <c r="D13" i="4"/>
  <c r="C13" i="4"/>
  <c r="S12" i="4"/>
  <c r="R12" i="4"/>
  <c r="T12" i="4" s="1"/>
  <c r="Q12" i="4"/>
  <c r="O12" i="4"/>
  <c r="K12" i="4"/>
  <c r="E12" i="4"/>
  <c r="D12" i="4"/>
  <c r="C12" i="4"/>
  <c r="B12" i="4"/>
  <c r="L12" i="4" s="1"/>
  <c r="T11" i="4"/>
  <c r="S11" i="4"/>
  <c r="R11" i="4"/>
  <c r="Q11" i="4"/>
  <c r="O11" i="4"/>
  <c r="L11" i="4"/>
  <c r="K11" i="4"/>
  <c r="E11" i="4"/>
  <c r="D11" i="4"/>
  <c r="C11" i="4"/>
  <c r="B11" i="4"/>
  <c r="S10" i="4"/>
  <c r="R10" i="4"/>
  <c r="T10" i="4" s="1"/>
  <c r="Q10" i="4"/>
  <c r="O10" i="4"/>
  <c r="K10" i="4"/>
  <c r="L10" i="4" s="1"/>
  <c r="E10" i="4"/>
  <c r="D10" i="4"/>
  <c r="C10" i="4"/>
  <c r="B10" i="4"/>
  <c r="S9" i="4"/>
  <c r="Q9" i="4"/>
  <c r="O9" i="4"/>
  <c r="K9" i="4"/>
  <c r="L20" i="4" s="1"/>
  <c r="E9" i="4"/>
  <c r="B9" i="4" s="1"/>
  <c r="D9" i="4"/>
  <c r="C9" i="4"/>
  <c r="S8" i="4"/>
  <c r="Q8" i="4"/>
  <c r="O8" i="4"/>
  <c r="K8" i="4"/>
  <c r="L21" i="4" s="1"/>
  <c r="E8" i="4"/>
  <c r="B8" i="4" s="1"/>
  <c r="D8" i="4"/>
  <c r="C8" i="4"/>
  <c r="S7" i="4"/>
  <c r="R7" i="4"/>
  <c r="T7" i="4" s="1"/>
  <c r="Q7" i="4"/>
  <c r="O7" i="4"/>
  <c r="K7" i="4"/>
  <c r="E7" i="4"/>
  <c r="B7" i="4" s="1"/>
  <c r="D7" i="4"/>
  <c r="C7" i="4"/>
  <c r="S6" i="4"/>
  <c r="R6" i="4"/>
  <c r="T6" i="4" s="1"/>
  <c r="Q6" i="4"/>
  <c r="O6" i="4"/>
  <c r="L6" i="4"/>
  <c r="K6" i="4"/>
  <c r="E6" i="4"/>
  <c r="D6" i="4"/>
  <c r="C6" i="4"/>
  <c r="B6" i="4"/>
  <c r="T25" i="3"/>
  <c r="V25" i="3" s="1"/>
  <c r="M25" i="3"/>
  <c r="N25" i="3" s="1"/>
  <c r="L25" i="3"/>
  <c r="K25" i="3"/>
  <c r="V24" i="3"/>
  <c r="T24" i="3"/>
  <c r="L24" i="3"/>
  <c r="M24" i="3" s="1"/>
  <c r="K24" i="3"/>
  <c r="V23" i="3"/>
  <c r="T23" i="3"/>
  <c r="R23" i="3"/>
  <c r="Q23" i="3"/>
  <c r="P23" i="3"/>
  <c r="O23" i="3"/>
  <c r="U23" i="3" s="1"/>
  <c r="L23" i="3"/>
  <c r="M23" i="3" s="1"/>
  <c r="K23" i="3"/>
  <c r="N23" i="3" s="1"/>
  <c r="T22" i="3"/>
  <c r="V22" i="3" s="1"/>
  <c r="M22" i="3"/>
  <c r="L22" i="3"/>
  <c r="K22" i="3"/>
  <c r="T21" i="3"/>
  <c r="V21" i="3" s="1"/>
  <c r="M21" i="3"/>
  <c r="N21" i="3" s="1"/>
  <c r="L21" i="3"/>
  <c r="K21" i="3"/>
  <c r="T20" i="3"/>
  <c r="V20" i="3" s="1"/>
  <c r="M20" i="3"/>
  <c r="L20" i="3"/>
  <c r="K20" i="3"/>
  <c r="N20" i="3" s="1"/>
  <c r="V19" i="3"/>
  <c r="T19" i="3"/>
  <c r="L19" i="3"/>
  <c r="M19" i="3" s="1"/>
  <c r="K19" i="3"/>
  <c r="N19" i="3" s="1"/>
  <c r="T18" i="3"/>
  <c r="V18" i="3" s="1"/>
  <c r="L18" i="3"/>
  <c r="M18" i="3" s="1"/>
  <c r="N18" i="3" s="1"/>
  <c r="K18" i="3"/>
  <c r="T17" i="3"/>
  <c r="V17" i="3" s="1"/>
  <c r="N17" i="3"/>
  <c r="M17" i="3"/>
  <c r="L17" i="3"/>
  <c r="K17" i="3"/>
  <c r="T16" i="3"/>
  <c r="V16" i="3" s="1"/>
  <c r="M16" i="3"/>
  <c r="N16" i="3" s="1"/>
  <c r="L16" i="3"/>
  <c r="K16" i="3"/>
  <c r="O16" i="3" s="1"/>
  <c r="U16" i="3" s="1"/>
  <c r="V15" i="3"/>
  <c r="T15" i="3"/>
  <c r="L15" i="3"/>
  <c r="M15" i="3" s="1"/>
  <c r="K15" i="3"/>
  <c r="N15" i="3" s="1"/>
  <c r="R15" i="3" s="1"/>
  <c r="T14" i="3"/>
  <c r="V14" i="3" s="1"/>
  <c r="L14" i="3"/>
  <c r="M14" i="3" s="1"/>
  <c r="K14" i="3"/>
  <c r="N14" i="3" s="1"/>
  <c r="T13" i="3"/>
  <c r="V13" i="3" s="1"/>
  <c r="M13" i="3"/>
  <c r="N13" i="3" s="1"/>
  <c r="L13" i="3"/>
  <c r="K13" i="3"/>
  <c r="V12" i="3"/>
  <c r="T12" i="3"/>
  <c r="L12" i="3"/>
  <c r="M12" i="3" s="1"/>
  <c r="K12" i="3"/>
  <c r="V11" i="3"/>
  <c r="T11" i="3"/>
  <c r="L11" i="3"/>
  <c r="M11" i="3" s="1"/>
  <c r="K11" i="3"/>
  <c r="V10" i="3"/>
  <c r="T10" i="3"/>
  <c r="M10" i="3"/>
  <c r="N10" i="3" s="1"/>
  <c r="L10" i="3"/>
  <c r="K10" i="3"/>
  <c r="T9" i="3"/>
  <c r="V9" i="3" s="1"/>
  <c r="M9" i="3"/>
  <c r="N9" i="3" s="1"/>
  <c r="L9" i="3"/>
  <c r="K9" i="3"/>
  <c r="V8" i="3"/>
  <c r="T8" i="3"/>
  <c r="L8" i="3"/>
  <c r="M8" i="3" s="1"/>
  <c r="K8" i="3"/>
  <c r="N8" i="3" s="1"/>
  <c r="V7" i="3"/>
  <c r="T7" i="3"/>
  <c r="M7" i="3"/>
  <c r="L7" i="3"/>
  <c r="K7" i="3"/>
  <c r="N7" i="3" s="1"/>
  <c r="T6" i="3"/>
  <c r="V6" i="3" s="1"/>
  <c r="L6" i="3"/>
  <c r="M6" i="3" s="1"/>
  <c r="K6" i="3"/>
  <c r="N6" i="3" s="1"/>
  <c r="B58" i="2"/>
  <c r="B54" i="2"/>
  <c r="F47" i="2"/>
  <c r="E47" i="2"/>
  <c r="F46" i="2"/>
  <c r="E46" i="2"/>
  <c r="E45" i="2"/>
  <c r="F45" i="2" s="1"/>
  <c r="E44" i="2"/>
  <c r="F44" i="2" s="1"/>
  <c r="E43" i="2"/>
  <c r="F43" i="2" s="1"/>
  <c r="F46" i="1"/>
  <c r="E46" i="1"/>
  <c r="A46" i="1"/>
  <c r="F45" i="1"/>
  <c r="E45" i="1"/>
  <c r="D45" i="1"/>
  <c r="A45" i="1"/>
  <c r="C45" i="1" s="1"/>
  <c r="A44" i="1"/>
  <c r="D44" i="1" s="1"/>
  <c r="F43" i="1"/>
  <c r="C43" i="1"/>
  <c r="B43" i="1"/>
  <c r="A43" i="1"/>
  <c r="F42" i="1"/>
  <c r="D42" i="1"/>
  <c r="C42" i="1"/>
  <c r="B42" i="1"/>
  <c r="A42" i="1"/>
  <c r="E42" i="1" s="1"/>
  <c r="F41" i="1"/>
  <c r="E41" i="1"/>
  <c r="D41" i="1"/>
  <c r="C41" i="1"/>
  <c r="B41" i="1"/>
  <c r="A41" i="1"/>
  <c r="F40" i="1"/>
  <c r="E40" i="1"/>
  <c r="D40" i="1"/>
  <c r="C40" i="1"/>
  <c r="B40" i="1"/>
  <c r="A40" i="1"/>
  <c r="A39" i="1"/>
  <c r="F39" i="1" s="1"/>
  <c r="A38" i="1"/>
  <c r="F37" i="1"/>
  <c r="E37" i="1"/>
  <c r="D37" i="1"/>
  <c r="B37" i="1"/>
  <c r="A37" i="1"/>
  <c r="C37" i="1" s="1"/>
  <c r="F36" i="1"/>
  <c r="E36" i="1"/>
  <c r="D36" i="1"/>
  <c r="C36" i="1"/>
  <c r="A36" i="1"/>
  <c r="B36" i="1" s="1"/>
  <c r="A35" i="1"/>
  <c r="D35" i="1" s="1"/>
  <c r="F34" i="1"/>
  <c r="E34" i="1"/>
  <c r="D34" i="1"/>
  <c r="C34" i="1"/>
  <c r="A34" i="1"/>
  <c r="B34" i="1" s="1"/>
  <c r="F33" i="1"/>
  <c r="E33" i="1"/>
  <c r="A33" i="1"/>
  <c r="A32" i="1"/>
  <c r="E32" i="1" s="1"/>
  <c r="F31" i="1"/>
  <c r="E31" i="1"/>
  <c r="D31" i="1"/>
  <c r="C31" i="1"/>
  <c r="A31" i="1"/>
  <c r="B31" i="1" s="1"/>
  <c r="A30" i="1"/>
  <c r="C30" i="1" s="1"/>
  <c r="A29" i="1"/>
  <c r="C29" i="1" s="1"/>
  <c r="F28" i="1"/>
  <c r="E28" i="1"/>
  <c r="D28" i="1"/>
  <c r="C28" i="1"/>
  <c r="B28" i="1"/>
  <c r="A28" i="1"/>
  <c r="A27" i="1"/>
  <c r="C27" i="1" s="1"/>
  <c r="B6" i="1"/>
  <c r="A5" i="1"/>
  <c r="R9" i="3" l="1"/>
  <c r="Q9" i="3"/>
  <c r="P9" i="3"/>
  <c r="S9" i="3" s="1"/>
  <c r="O9" i="3"/>
  <c r="U9" i="3" s="1"/>
  <c r="L9" i="4"/>
  <c r="R9" i="4"/>
  <c r="T9" i="4" s="1"/>
  <c r="R19" i="4"/>
  <c r="T19" i="4" s="1"/>
  <c r="L19" i="4"/>
  <c r="P14" i="3"/>
  <c r="S14" i="3"/>
  <c r="R14" i="3"/>
  <c r="Q14" i="3"/>
  <c r="P18" i="3"/>
  <c r="S18" i="3"/>
  <c r="R18" i="3"/>
  <c r="Q18" i="3"/>
  <c r="L13" i="4"/>
  <c r="R13" i="4"/>
  <c r="T13" i="4" s="1"/>
  <c r="P21" i="3"/>
  <c r="O21" i="3"/>
  <c r="U21" i="3" s="1"/>
  <c r="Q21" i="3"/>
  <c r="S21" i="3"/>
  <c r="R21" i="3"/>
  <c r="P25" i="3"/>
  <c r="Q25" i="3"/>
  <c r="R25" i="3"/>
  <c r="S25" i="3"/>
  <c r="O25" i="3"/>
  <c r="U25" i="3" s="1"/>
  <c r="L15" i="4"/>
  <c r="R15" i="4"/>
  <c r="T15" i="4" s="1"/>
  <c r="R13" i="3"/>
  <c r="Q13" i="3"/>
  <c r="O13" i="3"/>
  <c r="U13" i="3" s="1"/>
  <c r="P13" i="3"/>
  <c r="S13" i="3" s="1"/>
  <c r="P6" i="3"/>
  <c r="S6" i="3" s="1"/>
  <c r="R6" i="3"/>
  <c r="Q6" i="3"/>
  <c r="P10" i="3"/>
  <c r="S10" i="3" s="1"/>
  <c r="R10" i="3"/>
  <c r="Q10" i="3"/>
  <c r="X28" i="5"/>
  <c r="B10" i="6"/>
  <c r="X12" i="5"/>
  <c r="B52" i="2"/>
  <c r="B51" i="2"/>
  <c r="B63" i="2" s="1"/>
  <c r="B20" i="1" s="1"/>
  <c r="L22" i="4"/>
  <c r="R22" i="4"/>
  <c r="T22" i="4" s="1"/>
  <c r="R8" i="3"/>
  <c r="Q8" i="3"/>
  <c r="P8" i="3"/>
  <c r="S8" i="3" s="1"/>
  <c r="O8" i="3"/>
  <c r="U8" i="3" s="1"/>
  <c r="L16" i="4"/>
  <c r="R16" i="4"/>
  <c r="T16" i="4" s="1"/>
  <c r="R20" i="3"/>
  <c r="Q20" i="3"/>
  <c r="S20" i="3"/>
  <c r="P20" i="3"/>
  <c r="R16" i="3"/>
  <c r="Q16" i="3"/>
  <c r="P16" i="3"/>
  <c r="S16" i="3" s="1"/>
  <c r="S7" i="3"/>
  <c r="X34" i="5"/>
  <c r="R52" i="5"/>
  <c r="Z53" i="5"/>
  <c r="AH53" i="5" s="1"/>
  <c r="Z60" i="5"/>
  <c r="AH60" i="5" s="1"/>
  <c r="Z82" i="5"/>
  <c r="AH82" i="5" s="1"/>
  <c r="X84" i="5"/>
  <c r="X99" i="5"/>
  <c r="W99" i="5"/>
  <c r="R101" i="5"/>
  <c r="W44" i="5"/>
  <c r="X44" i="5" s="1"/>
  <c r="W54" i="5"/>
  <c r="X54" i="5" s="1"/>
  <c r="W65" i="5"/>
  <c r="X65" i="5" s="1"/>
  <c r="R14" i="4"/>
  <c r="T14" i="4" s="1"/>
  <c r="L14" i="4"/>
  <c r="D29" i="1"/>
  <c r="W58" i="5"/>
  <c r="X58" i="5"/>
  <c r="W80" i="5"/>
  <c r="X80" i="5" s="1"/>
  <c r="X100" i="5"/>
  <c r="B29" i="1"/>
  <c r="C38" i="1"/>
  <c r="B38" i="1"/>
  <c r="Z37" i="5"/>
  <c r="AH37" i="5" s="1"/>
  <c r="W48" i="5"/>
  <c r="X48" i="5" s="1"/>
  <c r="W51" i="5"/>
  <c r="X51" i="5" s="1"/>
  <c r="R94" i="5"/>
  <c r="B27" i="1"/>
  <c r="F29" i="1"/>
  <c r="C32" i="1"/>
  <c r="B35" i="1"/>
  <c r="D38" i="1"/>
  <c r="C44" i="1"/>
  <c r="Q7" i="3"/>
  <c r="N12" i="3"/>
  <c r="O12" i="3" s="1"/>
  <c r="U12" i="3" s="1"/>
  <c r="W6" i="5"/>
  <c r="X6" i="5" s="1"/>
  <c r="Z11" i="5"/>
  <c r="AH11" i="5" s="1"/>
  <c r="W12" i="5"/>
  <c r="Z27" i="5"/>
  <c r="AH27" i="5" s="1"/>
  <c r="W28" i="5"/>
  <c r="X35" i="5"/>
  <c r="W38" i="5"/>
  <c r="X38" i="5" s="1"/>
  <c r="Z57" i="5"/>
  <c r="AH57" i="5" s="1"/>
  <c r="R60" i="5"/>
  <c r="X77" i="5"/>
  <c r="W93" i="5"/>
  <c r="X93" i="5" s="1"/>
  <c r="X96" i="5"/>
  <c r="W96" i="5"/>
  <c r="W100" i="5"/>
  <c r="R102" i="5"/>
  <c r="E38" i="1"/>
  <c r="X22" i="5"/>
  <c r="X66" i="5"/>
  <c r="L24" i="4"/>
  <c r="W29" i="5"/>
  <c r="X29" i="5" s="1"/>
  <c r="X70" i="5"/>
  <c r="X81" i="5"/>
  <c r="W81" i="5"/>
  <c r="O7" i="3"/>
  <c r="U7" i="3" s="1"/>
  <c r="B32" i="1"/>
  <c r="F32" i="1"/>
  <c r="B30" i="1"/>
  <c r="X19" i="5"/>
  <c r="W22" i="5"/>
  <c r="W42" i="5"/>
  <c r="X42" i="5" s="1"/>
  <c r="W52" i="5"/>
  <c r="X52" i="5" s="1"/>
  <c r="W66" i="5"/>
  <c r="R23" i="4"/>
  <c r="T23" i="4" s="1"/>
  <c r="L23" i="4"/>
  <c r="O17" i="3"/>
  <c r="U17" i="3" s="1"/>
  <c r="D30" i="1"/>
  <c r="C33" i="1"/>
  <c r="D33" i="1"/>
  <c r="B39" i="1"/>
  <c r="Q17" i="3"/>
  <c r="O19" i="3"/>
  <c r="U19" i="3" s="1"/>
  <c r="W13" i="5"/>
  <c r="X13" i="5" s="1"/>
  <c r="W16" i="5"/>
  <c r="X16" i="5" s="1"/>
  <c r="X36" i="5"/>
  <c r="R61" i="5"/>
  <c r="F27" i="1"/>
  <c r="E30" i="1"/>
  <c r="B33" i="1"/>
  <c r="C39" i="1"/>
  <c r="B45" i="1"/>
  <c r="R17" i="3"/>
  <c r="P19" i="3"/>
  <c r="S19" i="3" s="1"/>
  <c r="N24" i="3"/>
  <c r="L7" i="4"/>
  <c r="Z6" i="5"/>
  <c r="AH6" i="5" s="1"/>
  <c r="Z12" i="5"/>
  <c r="AH12" i="5" s="1"/>
  <c r="Z18" i="5"/>
  <c r="AH18" i="5" s="1"/>
  <c r="W19" i="5"/>
  <c r="Z28" i="5"/>
  <c r="AH28" i="5" s="1"/>
  <c r="X49" i="5"/>
  <c r="X67" i="5"/>
  <c r="W74" i="5"/>
  <c r="X74" i="5" s="1"/>
  <c r="X86" i="5"/>
  <c r="X102" i="5"/>
  <c r="E27" i="1"/>
  <c r="F44" i="1"/>
  <c r="N11" i="3"/>
  <c r="O11" i="3" s="1"/>
  <c r="U11" i="3" s="1"/>
  <c r="P17" i="3"/>
  <c r="S17" i="3" s="1"/>
  <c r="Q19" i="3"/>
  <c r="R18" i="4"/>
  <c r="T18" i="4" s="1"/>
  <c r="W10" i="5"/>
  <c r="X10" i="5" s="1"/>
  <c r="W26" i="5"/>
  <c r="X26" i="5"/>
  <c r="O15" i="3"/>
  <c r="U15" i="3" s="1"/>
  <c r="E29" i="1"/>
  <c r="X18" i="5"/>
  <c r="C35" i="1"/>
  <c r="F38" i="1"/>
  <c r="L8" i="4"/>
  <c r="R24" i="4"/>
  <c r="T24" i="4" s="1"/>
  <c r="E39" i="1"/>
  <c r="W90" i="5"/>
  <c r="X90" i="5" s="1"/>
  <c r="B6" i="6"/>
  <c r="B53" i="2"/>
  <c r="O18" i="3"/>
  <c r="U18" i="3" s="1"/>
  <c r="X33" i="5"/>
  <c r="W75" i="5"/>
  <c r="X75" i="5" s="1"/>
  <c r="W82" i="5"/>
  <c r="X82" i="5" s="1"/>
  <c r="X98" i="5"/>
  <c r="B44" i="1"/>
  <c r="P7" i="3"/>
  <c r="Q15" i="3"/>
  <c r="O20" i="3"/>
  <c r="U20" i="3" s="1"/>
  <c r="D27" i="1"/>
  <c r="E44" i="1"/>
  <c r="N22" i="3"/>
  <c r="W32" i="5"/>
  <c r="X32" i="5" s="1"/>
  <c r="F30" i="1"/>
  <c r="D39" i="1"/>
  <c r="R19" i="3"/>
  <c r="R8" i="4"/>
  <c r="T8" i="4" s="1"/>
  <c r="B8" i="6" s="1"/>
  <c r="R12" i="5"/>
  <c r="W20" i="5"/>
  <c r="X20" i="5" s="1"/>
  <c r="R28" i="5"/>
  <c r="X50" i="5"/>
  <c r="W64" i="5"/>
  <c r="X64" i="5" s="1"/>
  <c r="R80" i="5"/>
  <c r="Z89" i="5"/>
  <c r="AH89" i="5" s="1"/>
  <c r="R105" i="5"/>
  <c r="P15" i="3"/>
  <c r="S15" i="3" s="1"/>
  <c r="B16" i="1"/>
  <c r="I35" i="1" s="1"/>
  <c r="F35" i="1"/>
  <c r="E35" i="1"/>
  <c r="D32" i="1"/>
  <c r="O6" i="3"/>
  <c r="R7" i="3"/>
  <c r="O14" i="3"/>
  <c r="U14" i="3" s="1"/>
  <c r="C46" i="1"/>
  <c r="B46" i="1"/>
  <c r="O10" i="3"/>
  <c r="U10" i="3" s="1"/>
  <c r="S23" i="3"/>
  <c r="E43" i="1"/>
  <c r="D43" i="1"/>
  <c r="D46" i="1"/>
  <c r="R17" i="4"/>
  <c r="T17" i="4" s="1"/>
  <c r="W11" i="5"/>
  <c r="X11" i="5" s="1"/>
  <c r="W27" i="5"/>
  <c r="X27" i="5" s="1"/>
  <c r="R45" i="5"/>
  <c r="R48" i="5"/>
  <c r="W68" i="5"/>
  <c r="X68" i="5" s="1"/>
  <c r="W83" i="5"/>
  <c r="X83" i="5" s="1"/>
  <c r="W91" i="5"/>
  <c r="X91" i="5" s="1"/>
  <c r="W98" i="5"/>
  <c r="W97" i="5"/>
  <c r="X97" i="5" s="1"/>
  <c r="W105" i="5"/>
  <c r="X105" i="5" s="1"/>
  <c r="U6" i="3" l="1"/>
  <c r="B56" i="2"/>
  <c r="B55" i="2"/>
  <c r="B59" i="2"/>
  <c r="B8" i="1"/>
  <c r="B57" i="2"/>
  <c r="B13" i="1" s="1"/>
  <c r="I32" i="1" s="1"/>
  <c r="P22" i="3"/>
  <c r="S22" i="3" s="1"/>
  <c r="Q22" i="3"/>
  <c r="R22" i="3"/>
  <c r="B9" i="6"/>
  <c r="R24" i="3"/>
  <c r="Q24" i="3"/>
  <c r="P24" i="3"/>
  <c r="S24" i="3"/>
  <c r="R12" i="3"/>
  <c r="Q12" i="3"/>
  <c r="P12" i="3"/>
  <c r="S12" i="3" s="1"/>
  <c r="O24" i="3"/>
  <c r="U24" i="3" s="1"/>
  <c r="R11" i="3"/>
  <c r="B13" i="6" s="1"/>
  <c r="P11" i="3"/>
  <c r="S11" i="3" s="1"/>
  <c r="Q11" i="3"/>
  <c r="B19" i="1" s="1"/>
  <c r="O22" i="3"/>
  <c r="U22" i="3" s="1"/>
  <c r="B10" i="1" l="1"/>
  <c r="I28" i="1" s="1"/>
  <c r="J11" i="4"/>
  <c r="M11" i="4" s="1"/>
  <c r="J12" i="4"/>
  <c r="M12" i="4" s="1"/>
  <c r="J15" i="4"/>
  <c r="M15" i="4" s="1"/>
  <c r="J21" i="4"/>
  <c r="M21" i="4" s="1"/>
  <c r="J22" i="4"/>
  <c r="M22" i="4" s="1"/>
  <c r="J6" i="4"/>
  <c r="M6" i="4" s="1"/>
  <c r="J20" i="4"/>
  <c r="M20" i="4" s="1"/>
  <c r="J16" i="4"/>
  <c r="M16" i="4" s="1"/>
  <c r="J8" i="4"/>
  <c r="M8" i="4" s="1"/>
  <c r="J19" i="4"/>
  <c r="M19" i="4" s="1"/>
  <c r="J7" i="4"/>
  <c r="M7" i="4" s="1"/>
  <c r="J17" i="4"/>
  <c r="M17" i="4" s="1"/>
  <c r="J13" i="4"/>
  <c r="M13" i="4" s="1"/>
  <c r="J14" i="4"/>
  <c r="M14" i="4" s="1"/>
  <c r="J23" i="4"/>
  <c r="M23" i="4" s="1"/>
  <c r="J18" i="4"/>
  <c r="M18" i="4" s="1"/>
  <c r="J9" i="4"/>
  <c r="M9" i="4" s="1"/>
  <c r="J24" i="4"/>
  <c r="M24" i="4" s="1"/>
  <c r="J10" i="4"/>
  <c r="M10" i="4" s="1"/>
  <c r="B61" i="2"/>
  <c r="B60" i="2"/>
  <c r="L17" i="4" s="1"/>
  <c r="B9" i="1" s="1"/>
  <c r="I29" i="1" s="1"/>
  <c r="B14" i="6"/>
  <c r="B11" i="1"/>
  <c r="I30" i="1" s="1"/>
  <c r="P17" i="4" l="1"/>
  <c r="N17" i="4"/>
  <c r="P8" i="4"/>
  <c r="N8" i="4"/>
  <c r="P14" i="4"/>
  <c r="N14" i="4"/>
  <c r="N7" i="4"/>
  <c r="P7" i="4"/>
  <c r="N19" i="4"/>
  <c r="P19" i="4"/>
  <c r="N20" i="4"/>
  <c r="P20" i="4"/>
  <c r="P24" i="4"/>
  <c r="N24" i="4"/>
  <c r="P22" i="4"/>
  <c r="N22" i="4"/>
  <c r="N10" i="4"/>
  <c r="P10" i="4"/>
  <c r="P11" i="4"/>
  <c r="N11" i="4"/>
  <c r="P13" i="4"/>
  <c r="N13" i="4"/>
  <c r="N16" i="4"/>
  <c r="P16" i="4"/>
  <c r="P6" i="4"/>
  <c r="N6" i="4"/>
  <c r="P21" i="4"/>
  <c r="N21" i="4"/>
  <c r="P18" i="4"/>
  <c r="N18" i="4"/>
  <c r="B11" i="6"/>
  <c r="B62" i="2"/>
  <c r="N15" i="4"/>
  <c r="P15" i="4"/>
  <c r="P12" i="4"/>
  <c r="N12" i="4"/>
  <c r="N9" i="4"/>
  <c r="P9" i="4"/>
  <c r="P23" i="4"/>
  <c r="N23" i="4"/>
  <c r="B14" i="1" l="1"/>
  <c r="B15" i="1"/>
  <c r="I34" i="1" s="1"/>
  <c r="B7" i="6"/>
  <c r="I33" i="1" l="1"/>
  <c r="B17" i="1"/>
  <c r="B12" i="6" l="1"/>
  <c r="B22" i="1"/>
</calcChain>
</file>

<file path=xl/sharedStrings.xml><?xml version="1.0" encoding="utf-8"?>
<sst xmlns="http://schemas.openxmlformats.org/spreadsheetml/2006/main" count="637" uniqueCount="355">
  <si>
    <t>Comune di Malegno · Incentivi per funzioni tecniche</t>
  </si>
  <si>
    <t>Compilare solo le celle gialle. Importi in euro. Percentuali digitabili anche come 25%.</t>
  </si>
  <si>
    <t>Anno di competenza</t>
  </si>
  <si>
    <t>Fondo utilizzato</t>
  </si>
  <si>
    <t>Quota CUC allocata</t>
  </si>
  <si>
    <t>Costo personale entro limite</t>
  </si>
  <si>
    <t>Innovazione disponibile</t>
  </si>
  <si>
    <t>Economie da riduzioni</t>
  </si>
  <si>
    <t>Risorse vincolate non destinabili a innovazione</t>
  </si>
  <si>
    <t>Quote per attività future</t>
  </si>
  <si>
    <t>Quote pregresse riservate</t>
  </si>
  <si>
    <t>Quote annue ancora da accertare</t>
  </si>
  <si>
    <t>Scarto di riconciliazione</t>
  </si>
  <si>
    <t>IRAP personale separata</t>
  </si>
  <si>
    <t>Risorse liberate con aliquote ridotte</t>
  </si>
  <si>
    <t>Stato della proposta</t>
  </si>
  <si>
    <t>Nominativo</t>
  </si>
  <si>
    <t>Lordo entro limite</t>
  </si>
  <si>
    <t>Oneri ente</t>
  </si>
  <si>
    <t>IRAP</t>
  </si>
  <si>
    <t>Saldo lordo</t>
  </si>
  <si>
    <t>Esito dati</t>
  </si>
  <si>
    <t>Destinazione</t>
  </si>
  <si>
    <t>Euro</t>
  </si>
  <si>
    <t>Personale</t>
  </si>
  <si>
    <t>CUC</t>
  </si>
  <si>
    <t>Innovazione</t>
  </si>
  <si>
    <t>Economie</t>
  </si>
  <si>
    <t>Vincolate</t>
  </si>
  <si>
    <t>Future</t>
  </si>
  <si>
    <t>Pregresse</t>
  </si>
  <si>
    <t>Da accertare</t>
  </si>
  <si>
    <t>Il saldo può essere negativo: indica un importo da recuperare. Il prospetto non calcola il netto fiscale.</t>
  </si>
  <si>
    <t>Quote CUC: fondo lordo con oneri; l’eventuale IRAP CUC è da gestire secondo convenzione e dati della centrale.</t>
  </si>
  <si>
    <t>Le risorse vincolate conservano la destinazione del finanziamento. Verificare il loro eventuale riutilizzo.</t>
  </si>
  <si>
    <t>Prima di liquidare, verificare Controlli e le attestazioni del RUP e del soggetto competente.</t>
  </si>
  <si>
    <t>Comune di Malegno · Dati della procedura</t>
  </si>
  <si>
    <t>Oggetto</t>
  </si>
  <si>
    <t>Inserire una sola procedura o un singolo lotto / attuativo.</t>
  </si>
  <si>
    <t>CUP</t>
  </si>
  <si>
    <t>Se dovuto; trattare i codici come testo.</t>
  </si>
  <si>
    <t>CIG</t>
  </si>
  <si>
    <t>Identificativo della procedura.</t>
  </si>
  <si>
    <t>Lotto / contratto attuativo</t>
  </si>
  <si>
    <t>Un calcolo autonomo per ciascun lotto o contratto attuativo.</t>
  </si>
  <si>
    <t>Un file per anno. Non utilizzare l’anno di pagamento come anno di maturazione.</t>
  </si>
  <si>
    <t>Prestazione</t>
  </si>
  <si>
    <t>Lavori</t>
  </si>
  <si>
    <t>Selezionare Lavori, Servizi o Forniture.</t>
  </si>
  <si>
    <t>Contratto</t>
  </si>
  <si>
    <t>Appalto</t>
  </si>
  <si>
    <t>Concessione e PPP: aliquote dimezzate; motivare la base del PPP.</t>
  </si>
  <si>
    <t>Regime</t>
  </si>
  <si>
    <t>Nuovo</t>
  </si>
  <si>
    <t>Transitorio: fondo già stanziato. Modifica: solo riserva originaria attestata.</t>
  </si>
  <si>
    <t>Importo base netto IVA</t>
  </si>
  <si>
    <t>Inclusi manodopera e sicurezza; esclusi rinnovi/opzioni/proroghe per gli appalti.</t>
  </si>
  <si>
    <t>Fondo preesistente / riserva per modifica</t>
  </si>
  <si>
    <t>Solo Transitorio o Modifica; non aggiungere di nuovo questo fondo al principale.</t>
  </si>
  <si>
    <t>Riserva originaria e attribuzione modifica verificate</t>
  </si>
  <si>
    <t>Da verificare</t>
  </si>
  <si>
    <t>Rileva solo per Modifica; documentare risorse già previste e attività aggiuntive.</t>
  </si>
  <si>
    <t>Coefficiente di riduzione delle aliquote</t>
  </si>
  <si>
    <t>100% = aliquote piene. Valori inferiori richiedono motivazione preventiva art. 6, comma 2.</t>
  </si>
  <si>
    <t>Quota del fondo finanziata da risorse vincolate</t>
  </si>
  <si>
    <t>Provenienza del fondo, non automaticamente dell’intero intervento.</t>
  </si>
  <si>
    <t>Lavori sotto €80.000 con progettazione o DL interna</t>
  </si>
  <si>
    <t>No</t>
  </si>
  <si>
    <t>Eccezione art. 5, comma 3.</t>
  </si>
  <si>
    <t>Ricorre una causa di esclusione art. 5</t>
  </si>
  <si>
    <t>Si = fondo non ammesso. Verificare tutte le cause regolamentari.</t>
  </si>
  <si>
    <t>Programmazione presente o legittimamente non dovuta</t>
  </si>
  <si>
    <t>Prima dell’avvio, salvo interventi sotto le soglie obbligatorie.</t>
  </si>
  <si>
    <t>Fondo e IRAP previsti sin dall’avvio</t>
  </si>
  <si>
    <t>Verificare le voci del quadro economico e la copertura.</t>
  </si>
  <si>
    <t>DEC diverso dal RUP nominato</t>
  </si>
  <si>
    <t>Necessario per servizi e forniture.</t>
  </si>
  <si>
    <t>Presupposti art. 32 e attestazione terza ove dovuta</t>
  </si>
  <si>
    <t>Per servizi e forniture, motivazione analitica e attestazione se dovuta.</t>
  </si>
  <si>
    <t>Contratto stipulato</t>
  </si>
  <si>
    <t>Condizione di ogni liquidazione; se non stipulato, nessun pagamento.</t>
  </si>
  <si>
    <t>Contratto integrativo dell’anno sottoscritto</t>
  </si>
  <si>
    <t>Presupposto dell’art. 13, comma 5.</t>
  </si>
  <si>
    <t>Adempimenti contabili completati</t>
  </si>
  <si>
    <t>Verifica del servizio finanziario, inclusa IRAP separata.</t>
  </si>
  <si>
    <t>Accertamento e liquidazione da soggetto competente terzo</t>
  </si>
  <si>
    <t>Nessun destinatario può accertare o liquidare il proprio compenso.</t>
  </si>
  <si>
    <t>ID del RUP</t>
  </si>
  <si>
    <t>Selezionare l’ID dopo avere compilato Personale.</t>
  </si>
  <si>
    <t>Responsabile di fase per affidamento nominato</t>
  </si>
  <si>
    <t>Se Si, indicare ID e riparto nella voce RUP di affidamento.</t>
  </si>
  <si>
    <t>ID responsabile di fase</t>
  </si>
  <si>
    <t>Deve essere diverso dal RUP ai fini del riparto qui previsto.</t>
  </si>
  <si>
    <t>Ente adotta metodi BIM art. 43</t>
  </si>
  <si>
    <t>Aumento del 15% del limite individuale; non aumenta il fondo.</t>
  </si>
  <si>
    <t>Gara svolta da CUC</t>
  </si>
  <si>
    <t>Compilare quota convenzionale e frazioni di attività trasferite in Voci.</t>
  </si>
  <si>
    <t>Quota CUC sul fondo complessivo</t>
  </si>
  <si>
    <t>Massimo 25% del fondo e capienza delle attività trasferite.</t>
  </si>
  <si>
    <t>Convenzione CUC e attività trasferite</t>
  </si>
  <si>
    <t>Indicare estremi, quota e base di calcolo; non equivale a un costo del servizio CUC.</t>
  </si>
  <si>
    <t>Motivazione aliquote ridotte / base PPP / transitorio</t>
  </si>
  <si>
    <t>Riferimento all’atto motivato e al quadro economico approvato.</t>
  </si>
  <si>
    <t>Rapporti con finanziatore e utilizzo innovazione verificati</t>
  </si>
  <si>
    <t>Le quote da fonti vincolate non sono automaticamente disponibili per innovazione.</t>
  </si>
  <si>
    <t>Contratto oltre dodici mesi o concessione</t>
  </si>
  <si>
    <t>Le quote di esecuzione maturano per annualità nei limiti del Regolamento.</t>
  </si>
  <si>
    <t>Delibera regolamento / atto gruppo / atti contabili</t>
  </si>
  <si>
    <t>Estremi della disciplina e del gruppo di lavoro.</t>
  </si>
  <si>
    <t>Tabella B voce 2: frazione riferita ad affidamento</t>
  </si>
  <si>
    <t>Da 0% a 100%; il residuo è progettazione del RUP. Richiesta se responsabile di fase o CUC.</t>
  </si>
  <si>
    <t>Compatibilità delle funzioni e requisiti verificati</t>
  </si>
  <si>
    <t>Verificare progettazione, verifica, direzione, collaudi e incarichi di sicurezza.</t>
  </si>
  <si>
    <t>Servizio / fornitura imputato in conto capitale</t>
  </si>
  <si>
    <t>La voce B1 spetta solo per spesa di investimento.</t>
  </si>
  <si>
    <t>Scaglione da</t>
  </si>
  <si>
    <t>Scaglione a</t>
  </si>
  <si>
    <t>Aliquota lavori</t>
  </si>
  <si>
    <t>Aliquota servizi e forniture</t>
  </si>
  <si>
    <t>Quota base</t>
  </si>
  <si>
    <t>Fondo scaglione</t>
  </si>
  <si>
    <t>Fonte: regolamento coordinato, artt. 5–7; scaglioni progressivi. Ultimo scaglione oltre 2,5 milioni.</t>
  </si>
  <si>
    <t>Fondo teorico ad aliquote piene</t>
  </si>
  <si>
    <t>Fondo con aliquote selezionate</t>
  </si>
  <si>
    <t>Fondo utilizzato nel prospetto</t>
  </si>
  <si>
    <t>Presupposti per costituzione</t>
  </si>
  <si>
    <t>Quota incentivante iniziale 80%</t>
  </si>
  <si>
    <t>Innovazione ordinaria finanziabile</t>
  </si>
  <si>
    <t>20% escluso per provenienza vincolata</t>
  </si>
  <si>
    <t>Quota CUC richiesta</t>
  </si>
  <si>
    <t>Capienza massima CUC</t>
  </si>
  <si>
    <t>Quota CUC allocabile alle voci</t>
  </si>
  <si>
    <t>Richiesta CUC eccedente capienza</t>
  </si>
  <si>
    <t>Presupposti generali di liquidazione</t>
  </si>
  <si>
    <t>Risparmio sul fondo totale, destinabile nel quadro economico con gli atti necessari; resta il riparto 80/20.</t>
  </si>
  <si>
    <t>Criterio RUP / responsabile di fase</t>
  </si>
  <si>
    <t>RUP 20% · fase 80%</t>
  </si>
  <si>
    <t>Fonti e regole</t>
  </si>
  <si>
    <t>Regolamento comunale coordinato, artt. 4–14 e Tabelle A e B.</t>
  </si>
  <si>
    <t>Art. 45 d.lgs. 36/2023: https://www.normattiva.it/uri-res/N2Ls?urn:nir:stato:decreto.legislativo:2023-03-31;36~art45!vig=</t>
  </si>
  <si>
    <t>La quota CUC eccedente non viene allocata: il residuo resta visibile e impedisce l’esito generale positivo.</t>
  </si>
  <si>
    <t>Comune di Malegno · Personale e limite annuo</t>
  </si>
  <si>
    <t>ID</t>
  </si>
  <si>
    <t>Matricola</t>
  </si>
  <si>
    <t>Ente di appartenenza</t>
  </si>
  <si>
    <t>Qualifica</t>
  </si>
  <si>
    <t>Oneri datore %</t>
  </si>
  <si>
    <t>IRAP %</t>
  </si>
  <si>
    <t>Retribuzione annua lorda senza incentivi</t>
  </si>
  <si>
    <t>Altri incentivi maturati nell’anno</t>
  </si>
  <si>
    <t>Già liquidato con questo prospetto</t>
  </si>
  <si>
    <t>Lordo maturato in questo calcolo</t>
  </si>
  <si>
    <t>Limite individuale annuo</t>
  </si>
  <si>
    <t>Capienza residua</t>
  </si>
  <si>
    <t>Eccedenza lordo dipendente</t>
  </si>
  <si>
    <t>Oneri sul lordo ammesso</t>
  </si>
  <si>
    <t>IRAP separata</t>
  </si>
  <si>
    <t>Saldo lordo da liquidare / recuperare</t>
  </si>
  <si>
    <t>Costo ammesso con oneri</t>
  </si>
  <si>
    <t>Dati personale</t>
  </si>
  <si>
    <t>Costo eccedenza con oneri</t>
  </si>
  <si>
    <t>Anomalie 0/1</t>
  </si>
  <si>
    <t>P01</t>
  </si>
  <si>
    <t>P02</t>
  </si>
  <si>
    <t>P03</t>
  </si>
  <si>
    <t>P04</t>
  </si>
  <si>
    <t>P05</t>
  </si>
  <si>
    <t>P06</t>
  </si>
  <si>
    <t>P07</t>
  </si>
  <si>
    <t>P08</t>
  </si>
  <si>
    <t>P09</t>
  </si>
  <si>
    <t>P10</t>
  </si>
  <si>
    <t>P11</t>
  </si>
  <si>
    <t>P12</t>
  </si>
  <si>
    <t>P13</t>
  </si>
  <si>
    <t>P14</t>
  </si>
  <si>
    <t>P15</t>
  </si>
  <si>
    <t>P16</t>
  </si>
  <si>
    <t>P17</t>
  </si>
  <si>
    <t>P18</t>
  </si>
  <si>
    <t>P19</t>
  </si>
  <si>
    <t>P20</t>
  </si>
  <si>
    <t>Aliquote contributive e IRAP: inserire quelle effettive certificate dall’ufficio personale. Il modello non stima il netto in busta paga.</t>
  </si>
  <si>
    <t>Comune di Malegno · Voci e maturazione</t>
  </si>
  <si>
    <t>Codice</t>
  </si>
  <si>
    <t>N. tabella</t>
  </si>
  <si>
    <t>Fase</t>
  </si>
  <si>
    <t>Attività</t>
  </si>
  <si>
    <t>% quota 80</t>
  </si>
  <si>
    <t>Destinazione attuale</t>
  </si>
  <si>
    <t>Frazione trasferita CUC</t>
  </si>
  <si>
    <t>Quota anni precedenti / previgente</t>
  </si>
  <si>
    <t>Quota maturata nell’anno</t>
  </si>
  <si>
    <t>Importo originario voce</t>
  </si>
  <si>
    <t>Capienza attività CUC</t>
  </si>
  <si>
    <t>Detrazione CUC</t>
  </si>
  <si>
    <t>Residuo al Comune</t>
  </si>
  <si>
    <t>Quota annua da ripartire</t>
  </si>
  <si>
    <t>Attività future accantonate</t>
  </si>
  <si>
    <t>Quote non svolte con oneri</t>
  </si>
  <si>
    <t>Controllo della voce</t>
  </si>
  <si>
    <t>Somma pesi riparto</t>
  </si>
  <si>
    <t>V01</t>
  </si>
  <si>
    <t>Da definire</t>
  </si>
  <si>
    <t>V02</t>
  </si>
  <si>
    <t>V03</t>
  </si>
  <si>
    <t>V04</t>
  </si>
  <si>
    <t>V05</t>
  </si>
  <si>
    <t>V06</t>
  </si>
  <si>
    <t>V07</t>
  </si>
  <si>
    <t>V08</t>
  </si>
  <si>
    <t>V09</t>
  </si>
  <si>
    <t>V10</t>
  </si>
  <si>
    <t>V11</t>
  </si>
  <si>
    <t>V12</t>
  </si>
  <si>
    <t>V13</t>
  </si>
  <si>
    <t>V14</t>
  </si>
  <si>
    <t>V15</t>
  </si>
  <si>
    <t>V16</t>
  </si>
  <si>
    <t>V17</t>
  </si>
  <si>
    <t>V18</t>
  </si>
  <si>
    <t>V19</t>
  </si>
  <si>
    <t>Per servizi correnti la voce 1 non spetta: selezionare Non prevista. Frazioni CUC da motivare, senza intaccare progettazione mantenuta al Comune.</t>
  </si>
  <si>
    <t>Quote annue e pregresse si riferiscono al residuo comunale dopo la CUC. La CUC è trattata come quota di fondo della procedura, non come maturazione annuale interna.</t>
  </si>
  <si>
    <t>Comune di Malegno · Attribuzioni e accertamenti</t>
  </si>
  <si>
    <t>Voce</t>
  </si>
  <si>
    <t>ID persona</t>
  </si>
  <si>
    <t>Ruolo nella voce</t>
  </si>
  <si>
    <t>Peso manuale facoltativo</t>
  </si>
  <si>
    <t>Peso applicato</t>
  </si>
  <si>
    <t>Quota complessiva con oneri</t>
  </si>
  <si>
    <t>Quota annua con oneri</t>
  </si>
  <si>
    <t>Attività attestata</t>
  </si>
  <si>
    <t>Esclusione soggettiva art. 12</t>
  </si>
  <si>
    <t>Ritardo progettazione / termine</t>
  </si>
  <si>
    <t>Incremento tempo / durata</t>
  </si>
  <si>
    <t>Incremento costo / contratto</t>
  </si>
  <si>
    <t>Carenze art. 13 almeno 5%</t>
  </si>
  <si>
    <t>Atti e motivazione</t>
  </si>
  <si>
    <t>Riduzione progettazione</t>
  </si>
  <si>
    <t>Riduzione tempi</t>
  </si>
  <si>
    <t>Riduzione costi</t>
  </si>
  <si>
    <t>Riduzione totale</t>
  </si>
  <si>
    <t>Economia per esclusione o riduzione</t>
  </si>
  <si>
    <t>Quota priva attestazione</t>
  </si>
  <si>
    <t>Costo annuo accertato</t>
  </si>
  <si>
    <t>Aliquota oneri</t>
  </si>
  <si>
    <t>Lordo dipendente</t>
  </si>
  <si>
    <t>Oneri datore</t>
  </si>
  <si>
    <t>Controllo attribuzione</t>
  </si>
  <si>
    <t>Chiave persona e voce</t>
  </si>
  <si>
    <t>N. voce</t>
  </si>
  <si>
    <t>N. speciali nella voce</t>
  </si>
  <si>
    <t>N. altri nella voce</t>
  </si>
  <si>
    <t>N. assegnatari voce</t>
  </si>
  <si>
    <t>N. pesi manuali</t>
  </si>
  <si>
    <t>Comune di Malegno · Controlli del prospetto</t>
  </si>
  <si>
    <t>Controllo</t>
  </si>
  <si>
    <t>Esito / quantità</t>
  </si>
  <si>
    <t>Indicazione</t>
  </si>
  <si>
    <t>Fondo e presupposti</t>
  </si>
  <si>
    <t>Verificare requisiti di costituzione e soglie comunali.</t>
  </si>
  <si>
    <t>Stipula, CCI, contabilità, terzietà e altri dati in Procedura.</t>
  </si>
  <si>
    <t>Voci con anomalie</t>
  </si>
  <si>
    <t>Devono essere zero: leggere la colonna R di Voci.</t>
  </si>
  <si>
    <t>Attribuzioni con anomalie</t>
  </si>
  <si>
    <t>Devono essere zero: leggere la colonna Z di Riparto.</t>
  </si>
  <si>
    <t>Schede personale incomplete</t>
  </si>
  <si>
    <t>Devono essere zero: leggere la colonna T di Personale.</t>
  </si>
  <si>
    <t>CUC richiesta eccedente capienza</t>
  </si>
  <si>
    <t>Deve essere zero. Non viene cancellata né imputata automaticamente ad altre fasi.</t>
  </si>
  <si>
    <t>Scarto di riconciliazione fondo</t>
  </si>
  <si>
    <t>Deve essere prossimo a zero, tolleranza un centesimo.</t>
  </si>
  <si>
    <t>Saldo personale complessivo da liquidare</t>
  </si>
  <si>
    <t>Contiene eventuali recuperi: non compensare automaticamente tra persone.</t>
  </si>
  <si>
    <t>Eccedenza annua del lordo dipendente</t>
  </si>
  <si>
    <t>Non è corrisposta; il relativo costo con oneri segue la destinazione del fondo.</t>
  </si>
  <si>
    <t>RUP / responsabile di fase uguali</t>
  </si>
  <si>
    <t>Deve essere zero. Ruoli da individuare distintamente nel modello.</t>
  </si>
  <si>
    <t>Voce coordinamento flussi con BIM non adottato</t>
  </si>
  <si>
    <t>Deve essere zero: art. 43 e Tabella A voce 9.</t>
  </si>
  <si>
    <t>Partecipazione del Segretario / dirigenti</t>
  </si>
  <si>
    <t>Se presenti, comunicazioni al revisore; per Segretario verificare art. 9 e soggetto terzo.</t>
  </si>
  <si>
    <t>Dati annui da altre amministrazioni</t>
  </si>
  <si>
    <t>MANUALE</t>
  </si>
  <si>
    <t>Aggiornare il cumulato globale prima della liquidazione. Nessun file locale può verificare autonomamente altri enti.</t>
  </si>
  <si>
    <t>Compatibilità tra funzioni</t>
  </si>
  <si>
    <t>Verificare art. 42 e Allegati I.7 e II.14, requisiti di sicurezza, collaudo statico e incompatibilità specifiche.</t>
  </si>
  <si>
    <t>Riduzioni per medesimo fatto</t>
  </si>
  <si>
    <t>Evitare duplicazioni. I rapporti inseriti devono riguardare soli incrementi ingiustificati imputabili al destinatario.</t>
  </si>
  <si>
    <t>Programmazione servizi in conto capitale</t>
  </si>
  <si>
    <t>Voce B1 esclusa per spesa corrente: scegliere Non prevista.</t>
  </si>
  <si>
    <t>Quote annue esecuzione e maturazione</t>
  </si>
  <si>
    <t>Per contratti ordinari entro 12 mesi serve evento finale; per durate maggiori attestare annualità e conguaglio.</t>
  </si>
  <si>
    <t>CUC su attività pregresse</t>
  </si>
  <si>
    <t>Nel transitorio imputare solo la CUC ancora da attribuire, senza duplicare somme già riservate o trasferite.</t>
  </si>
  <si>
    <t>Istruzioni e parametri del Regolamento</t>
  </si>
  <si>
    <t>1. Iniziare da Procedura, poi Personale, Voci e Riparto. Il Riepilogo si aggiorna con le formule e con il grafico.</t>
  </si>
  <si>
    <t>2. Giallo = campo da compilare. Bianco o azzurro = calcolo o parametro del Regolamento. Usare le liste a tendina.</t>
  </si>
  <si>
    <t>3. Gli ID P01–P20 e V01–V19 sono stabili. Non cambiare gli ID e non cancellare le righe predisposte.</t>
  </si>
  <si>
    <t>4. Una riga di Riparto per persona e voce. Fino a 20 persone e 100 attribuzioni. Conservare una copia per procedura e anno.</t>
  </si>
  <si>
    <t>5. I pesi manuali sono facoltativi. Se si usano, compilarli per TUTTI gli assegnatari della stessa voce; somma 100%.</t>
  </si>
  <si>
    <t>6. Collaborazioni: Supporto e Responsabile fase compongono la categoria del 60%; Altro quella del 40%. Categoria assente: parti uguali.</t>
  </si>
  <si>
    <t>7. Nella voce RUP di affidamento il riparto predefinito è RUP 20% e responsabile di fase 80%. La frazione di progettazione B2 resta al RUP.</t>
  </si>
  <si>
    <t>8. Gli importi calcolati sono stime. I dati mancanti e le verifiche manuali restano esposti: non costituiscono autorizzazione a pagare.</t>
  </si>
  <si>
    <t>9. Ritardo progetto = ritardo ingiustificato / termine assegnato; incremento tempo = scostamento ingiustificato / durata contrattuale.</t>
  </si>
  <si>
    <t>10. Incremento costi = maggior costo ingiustificato / importo contrattuale. Escludere proroghe giustificate, forza maggiore e cause non imputabili.</t>
  </si>
  <si>
    <t>11. Oneri e IRAP devono essere indicati per ogni persona. Il limite individuale usa il lordo dipendente, senza oneri datore e IRAP.</t>
  </si>
  <si>
    <t>12. Per acconti usare la quota CUMULATA dello stesso anno e indicare quanto già liquidato con questo stesso prospetto in Personale.</t>
  </si>
  <si>
    <t>13. Gli altri incentivi annui escludono il cumulato già incluso in questo file. Comprendono le altre procedure e gli altri enti.</t>
  </si>
  <si>
    <t>14. Per il transitorio, le quote concluse sono riservate al regime precedente. Il modello non ricalcola né liquida le fasi pregresse.</t>
  </si>
  <si>
    <t>15. Per le modifiche, un file separato usa solo la riserva originaria accertata. Non sommare il risultato due volte al fondo principale.</t>
  </si>
  <si>
    <t>16. La CUC è sottratta per prima dai documenti di gara e poi, proporzionalmente, dalle altre attività trasferite; verificare la convenzione.</t>
  </si>
  <si>
    <t>17. Il fondo si riconcilia tra CUC, personale, innovazione, economie, risorse vincolate, quote future, pregresse e ancora da accertare.</t>
  </si>
  <si>
    <t>18. La riduzione preventiva delle aliquote libera risorse per l’intervento; non elimina la sola quota del 20% a parità di incentivo al personale.</t>
  </si>
  <si>
    <t>19. Importi a piena precisione nelle formule. Alla liquidazione arrotondare a centesimi nel sistema paghe e riconciliare eventuali differenze.</t>
  </si>
  <si>
    <t>20. Non inserire in questo file dichiarazioni riservate, dati giudiziari o dettagli dei conflitti. Conservare gli estremi degli atti nel fascicolo.</t>
  </si>
  <si>
    <t>Fonte dei parametri: Regolamento Malegno coordinato, art. 6 e Tabelle A e B; versione predisposta il 26 ottobre 2026.</t>
  </si>
  <si>
    <t>N.</t>
  </si>
  <si>
    <t>Fase lavori</t>
  </si>
  <si>
    <t>Attività lavori</t>
  </si>
  <si>
    <t>Peso lavori</t>
  </si>
  <si>
    <t>Fase servizi</t>
  </si>
  <si>
    <t>Attività servizi</t>
  </si>
  <si>
    <t>Peso servizi</t>
  </si>
  <si>
    <t>Programmazione</t>
  </si>
  <si>
    <t>Programmazione della spesa per investimenti</t>
  </si>
  <si>
    <t>Programmazione investimenti solo conto capitale</t>
  </si>
  <si>
    <t>DocFAP</t>
  </si>
  <si>
    <t>Progettazione e affidamento</t>
  </si>
  <si>
    <t>RUP progettazione e affidamento</t>
  </si>
  <si>
    <t>Progettazione</t>
  </si>
  <si>
    <t>RUP progettazione</t>
  </si>
  <si>
    <t>Collaborazione RUP progettazione e affidamento</t>
  </si>
  <si>
    <t>Collaborazione RUP progettazione</t>
  </si>
  <si>
    <t>Predisposizione documenti di gara</t>
  </si>
  <si>
    <t>PFTE</t>
  </si>
  <si>
    <t>Esecuzione</t>
  </si>
  <si>
    <t>RUP esecuzione</t>
  </si>
  <si>
    <t>Progetto esecutivo</t>
  </si>
  <si>
    <t>Collaborazione RUP esecuzione</t>
  </si>
  <si>
    <t>Sicurezza progettazione</t>
  </si>
  <si>
    <t>Direzione esecuzione</t>
  </si>
  <si>
    <t>Verifica della progettazione</t>
  </si>
  <si>
    <t>Collaboratori DEC</t>
  </si>
  <si>
    <t>Coordinamento flussi informativi</t>
  </si>
  <si>
    <t>Sicurezza esecuzione</t>
  </si>
  <si>
    <t>Affidamento</t>
  </si>
  <si>
    <t>RUP affidamento</t>
  </si>
  <si>
    <t>Verifica conformità / regolare esecuzione</t>
  </si>
  <si>
    <t>Collaborazione RUP affidamento</t>
  </si>
  <si>
    <t>Direzione lavori</t>
  </si>
  <si>
    <t>Ufficio direzione lavori</t>
  </si>
  <si>
    <t>Collaudo / regolare esecuzione</t>
  </si>
  <si>
    <t>Collaudo statico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</si>
</sst>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\(#,##0.00\);&quot;–&quot;"/>
  </numFmts>
  <fonts count="8">
    <font>
      <sz val="11"/>
      <name val="Carlito"/>
    </font>
    <font>
      <sz val="10"/>
      <color rgb="FF20384D"/>
      <name val="Arial"/>
    </font>
    <font>
      <b/>
      <sz val="15"/>
      <color rgb="FF20384D"/>
      <name val="Arial"/>
    </font>
    <font>
      <sz val="10"/>
      <color rgb="FF637382"/>
      <name val="Arial"/>
    </font>
    <font>
      <b/>
      <sz val="10"/>
      <color rgb="FFFFFFFF"/>
      <name val="Arial"/>
    </font>
    <font>
      <b/>
      <sz val="10"/>
      <color rgb="FF20384D"/>
      <name val="Arial"/>
    </font>
    <font>
      <sz val="15"/>
      <color rgb="FF20384D"/>
      <name val="Arial"/>
    </font>
    <font>
      <sz val="11"/>
      <name val="Carlito"/>
    </font>
  </fonts>
  <fills count="5">
    <fill>
      <patternFill patternType="none"/>
    </fill>
    <fill>
      <patternFill patternType="gray125"/>
    </fill>
    <fill>
      <patternFill patternType="solid">
        <fgColor rgb="FFFFF0B3"/>
      </patternFill>
    </fill>
    <fill>
      <patternFill patternType="solid">
        <fgColor rgb="FF20384D"/>
      </patternFill>
    </fill>
    <fill>
      <patternFill patternType="solid">
        <fgColor rgb="FFEDF3F7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/>
  </cellStyleXfs>
  <cellXfs count="20">
    <xf numFmtId="0" fontId="0" fillId="0" borderId="0" xfId="0"/>
    <xf numFmtId="0" fontId="1" fillId="0" borderId="0" xfId="1" applyFont="1"/>
    <xf numFmtId="0" fontId="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1" fillId="2" borderId="0" xfId="1" applyFont="1" applyFill="1" applyAlignment="1">
      <alignment vertical="center"/>
    </xf>
    <xf numFmtId="0" fontId="1" fillId="0" borderId="0" xfId="1" applyFont="1" applyAlignment="1">
      <alignment vertical="center" wrapText="1"/>
    </xf>
    <xf numFmtId="164" fontId="1" fillId="2" borderId="0" xfId="1" applyNumberFormat="1" applyFont="1" applyFill="1" applyAlignment="1">
      <alignment vertical="center"/>
    </xf>
    <xf numFmtId="10" fontId="1" fillId="2" borderId="0" xfId="1" applyNumberFormat="1" applyFont="1" applyFill="1" applyAlignment="1">
      <alignment vertical="center"/>
    </xf>
    <xf numFmtId="0" fontId="4" fillId="3" borderId="0" xfId="1" applyFont="1" applyFill="1" applyAlignment="1">
      <alignment horizontal="center" vertical="center" wrapText="1"/>
    </xf>
    <xf numFmtId="10" fontId="1" fillId="0" borderId="0" xfId="1" applyNumberFormat="1" applyFont="1" applyAlignment="1">
      <alignment vertical="center"/>
    </xf>
    <xf numFmtId="164" fontId="1" fillId="0" borderId="0" xfId="1" applyNumberFormat="1" applyFont="1" applyAlignment="1">
      <alignment vertical="center"/>
    </xf>
    <xf numFmtId="0" fontId="1" fillId="4" borderId="0" xfId="1" applyFont="1" applyFill="1" applyAlignment="1">
      <alignment vertical="center"/>
    </xf>
    <xf numFmtId="164" fontId="1" fillId="4" borderId="0" xfId="1" applyNumberFormat="1" applyFont="1" applyFill="1" applyAlignment="1">
      <alignment vertical="center"/>
    </xf>
    <xf numFmtId="9" fontId="1" fillId="0" borderId="0" xfId="1" applyNumberFormat="1" applyFont="1" applyAlignment="1">
      <alignment vertical="center"/>
    </xf>
    <xf numFmtId="0" fontId="5" fillId="0" borderId="0" xfId="1" applyFont="1" applyAlignment="1">
      <alignment vertical="center"/>
    </xf>
    <xf numFmtId="0" fontId="5" fillId="3" borderId="0" xfId="1" applyFont="1" applyFill="1" applyAlignment="1">
      <alignment horizontal="center" vertical="center" wrapText="1"/>
    </xf>
    <xf numFmtId="9" fontId="1" fillId="0" borderId="0" xfId="1" applyNumberFormat="1" applyFont="1"/>
    <xf numFmtId="0" fontId="6" fillId="0" borderId="0" xfId="1" applyFont="1"/>
    <xf numFmtId="0" fontId="1" fillId="0" borderId="0" xfId="1" applyFont="1" applyAlignment="1">
      <alignment wrapText="1"/>
    </xf>
  </cellXfs>
  <cellStyles count="2">
    <cellStyle name="Normal" xfId="1" xr:uid="{00000000-0005-0000-0000-000000000000}"/>
    <cellStyle name="Normale" xfId="0" builtinId="0"/>
  </cellStyles>
  <dxfs count="5">
    <dxf>
      <font>
        <color rgb="FF9C2020"/>
      </font>
      <fill>
        <patternFill patternType="solid">
          <bgColor rgb="FFFCE4E4"/>
        </patternFill>
      </fill>
    </dxf>
    <dxf>
      <font>
        <b/>
        <color rgb="FF9C2020"/>
      </font>
      <fill>
        <patternFill patternType="solid">
          <bgColor rgb="FFFCE4E4"/>
        </patternFill>
      </fill>
    </dxf>
    <dxf>
      <font>
        <b/>
        <color rgb="FF9C2020"/>
      </font>
      <fill>
        <patternFill patternType="solid">
          <bgColor rgb="FFFCE4E4"/>
        </patternFill>
      </fill>
    </dxf>
    <dxf>
      <font>
        <b/>
        <color rgb="FF9C2020"/>
      </font>
      <fill>
        <patternFill patternType="solid">
          <bgColor rgb="FFFCE4E4"/>
        </patternFill>
      </fill>
    </dxf>
    <dxf>
      <font>
        <b/>
        <color rgb="FF9C2020"/>
      </font>
      <fill>
        <patternFill patternType="solid">
          <bgColor rgb="FFFCE4E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c:style val="2"/>
  <c:chart>
    <c:title>
      <c:tx>
        <c:rich>
          <a:bodyPr/>
          <a:lstStyle/>
          <a:p>
            <a:r>
              <a:rPr lang="it-IT" sz="975">
                <a:latin typeface="Arial"/>
                <a:ea typeface="Arial"/>
                <a:cs typeface="Arial"/>
              </a:rPr>
              <a:t>Destinazione del fondo in euro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Euro</c:v>
          </c:tx>
          <c:spPr>
            <a:solidFill>
              <a:srgbClr val="355F7B"/>
            </a:solidFill>
          </c:spPr>
          <c:invertIfNegative val="0"/>
          <c:cat>
            <c:strRef>
              <c:f>Riepilogo!$H$28:$H$35</c:f>
              <c:strCache>
                <c:ptCount val="8"/>
                <c:pt idx="0">
                  <c:v>Personale</c:v>
                </c:pt>
                <c:pt idx="1">
                  <c:v>CUC</c:v>
                </c:pt>
                <c:pt idx="2">
                  <c:v>Innovazione</c:v>
                </c:pt>
                <c:pt idx="3">
                  <c:v>Economie</c:v>
                </c:pt>
                <c:pt idx="4">
                  <c:v>Vincolate</c:v>
                </c:pt>
                <c:pt idx="5">
                  <c:v>Future</c:v>
                </c:pt>
                <c:pt idx="6">
                  <c:v>Pregresse</c:v>
                </c:pt>
                <c:pt idx="7">
                  <c:v>Da accertare</c:v>
                </c:pt>
              </c:strCache>
            </c:strRef>
          </c:cat>
          <c:val>
            <c:numRef>
              <c:f>Riepilogo!$I$28:$I$35</c:f>
              <c:numCache>
                <c:formatCode>#,##0.00;[Red]\(#,##0.00\);"–"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21-4163-93B0-6367A4A995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750">
                <a:latin typeface="Arial"/>
                <a:ea typeface="Arial"/>
                <a:cs typeface="Arial"/>
              </a:defRPr>
            </a:pPr>
            <a:endParaRPr lang="it-IT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txPr>
          <a:bodyPr anchorCtr="1"/>
          <a:lstStyle/>
          <a:p>
            <a:pPr>
              <a:defRPr sz="750">
                <a:latin typeface="Arial"/>
                <a:ea typeface="Arial"/>
                <a:cs typeface="Arial"/>
              </a:defRPr>
            </a:pPr>
            <a:endParaRPr lang="it-IT"/>
          </a:p>
        </c:txPr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0384D"/>
  </sheetPr>
  <dimension ref="A1:N65"/>
  <sheetViews>
    <sheetView showGridLines="0" workbookViewId="0">
      <selection activeCell="A5" sqref="A5"/>
    </sheetView>
  </sheetViews>
  <sheetFormatPr defaultRowHeight="14.25"/>
  <cols>
    <col min="1" max="1" width="49" customWidth="1"/>
    <col min="2" max="2" width="25" customWidth="1"/>
    <col min="3" max="3" width="22" customWidth="1"/>
    <col min="4" max="6" width="21" customWidth="1"/>
    <col min="7" max="10" width="14" customWidth="1"/>
    <col min="11" max="14" width="13" customWidth="1"/>
  </cols>
  <sheetData>
    <row r="1" spans="1:14" ht="24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24" customHeight="1">
      <c r="A2" s="3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24" customHeight="1">
      <c r="A3" s="4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24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24" customHeight="1">
      <c r="A5" s="2" t="str">
        <f>IF(Procedura!B5="","Inserire i dati nel foglio Procedura",Procedura!B5)</f>
        <v>Inserire i dati nel foglio Procedura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ht="24" customHeight="1">
      <c r="A6" s="2" t="s">
        <v>2</v>
      </c>
      <c r="B6" s="2">
        <f>Procedura!B9</f>
        <v>2026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24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ht="24" customHeight="1">
      <c r="A8" s="2" t="s">
        <v>3</v>
      </c>
      <c r="B8" s="11">
        <f>Procedura!B53</f>
        <v>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24" customHeight="1">
      <c r="A9" s="2" t="s">
        <v>4</v>
      </c>
      <c r="B9" s="11">
        <f>SUM(Voci!L6:L24)</f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ht="24" customHeight="1">
      <c r="A10" s="2" t="s">
        <v>5</v>
      </c>
      <c r="B10" s="11">
        <f>SUM(Personale!S6:S25)</f>
        <v>0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ht="24" customHeight="1">
      <c r="A11" s="2" t="s">
        <v>6</v>
      </c>
      <c r="B11" s="11">
        <f>Procedura!B56+(SUM(Voci!Q6:Q24)+SUM(Riparto!T6:T105)+SUM(Personale!U6:U25))*(1-Procedura!B17)</f>
        <v>0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ht="24" customHeight="1">
      <c r="A12" s="2" t="s">
        <v>7</v>
      </c>
      <c r="B12" s="11">
        <f>SUM(Riparto!S6:S105)</f>
        <v>0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ht="24" customHeight="1">
      <c r="A13" s="2" t="s">
        <v>8</v>
      </c>
      <c r="B13" s="11">
        <f>Procedura!B57+(SUM(Voci!Q6:Q24)+SUM(Riparto!T6:T105)+SUM(Personale!U6:U25))*Procedura!B17</f>
        <v>0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ht="24" customHeight="1">
      <c r="A14" s="2" t="s">
        <v>9</v>
      </c>
      <c r="B14" s="11">
        <f>SUM(Voci!P6:P24)</f>
        <v>0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ht="24" customHeight="1">
      <c r="A15" s="2" t="s">
        <v>10</v>
      </c>
      <c r="B15" s="11">
        <f>SUM(Voci!N6:N24)</f>
        <v>0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ht="24" customHeight="1">
      <c r="A16" s="2" t="s">
        <v>11</v>
      </c>
      <c r="B16" s="11">
        <f>SUM(Voci!O6:O24)-SUM(Riparto!S6:U105)</f>
        <v>0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ht="24" customHeight="1">
      <c r="A17" s="2" t="s">
        <v>12</v>
      </c>
      <c r="B17" s="11">
        <f>B8-SUM(B9:B16)</f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ht="24" customHeight="1">
      <c r="A18" s="2"/>
      <c r="B18" s="1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ht="24" customHeight="1">
      <c r="A19" s="2" t="s">
        <v>13</v>
      </c>
      <c r="B19" s="11">
        <f>SUM(Personale!Q6:Q25)</f>
        <v>0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ht="24" customHeight="1">
      <c r="A20" s="2" t="s">
        <v>14</v>
      </c>
      <c r="B20" s="11">
        <f>Procedura!B63</f>
        <v>0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ht="24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 ht="24" customHeight="1">
      <c r="A22" s="2" t="s">
        <v>15</v>
      </c>
      <c r="B22" s="15" t="str">
        <f>IF(AND(Procedura!B62="VERIFICATI",SUM(Voci!T6:T24)=0,SUM(Riparto!AH6:AH105)=0,SUM(Personale!V6:V25)=0,ABS(B17)&lt;0.01),"VERIFICHE COMPILATE","DA COMPLETARE")</f>
        <v>DA COMPLETARE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ht="24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 ht="24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24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ht="44.1" customHeight="1">
      <c r="A26" s="9" t="s">
        <v>16</v>
      </c>
      <c r="B26" s="9" t="s">
        <v>17</v>
      </c>
      <c r="C26" s="9" t="s">
        <v>18</v>
      </c>
      <c r="D26" s="9" t="s">
        <v>19</v>
      </c>
      <c r="E26" s="9" t="s">
        <v>20</v>
      </c>
      <c r="F26" s="9" t="s">
        <v>21</v>
      </c>
      <c r="G26" s="2"/>
      <c r="H26" s="2"/>
      <c r="I26" s="2"/>
      <c r="J26" s="2"/>
      <c r="K26" s="2"/>
      <c r="L26" s="2"/>
      <c r="M26" s="2"/>
      <c r="N26" s="2"/>
    </row>
    <row r="27" spans="1:14" ht="30" customHeight="1">
      <c r="A27" s="2" t="str">
        <f>IF(Personale!B6="","",Personale!B6)</f>
        <v/>
      </c>
      <c r="B27" s="11" t="str">
        <f>IF(A27="","",Personale!N6)</f>
        <v/>
      </c>
      <c r="C27" s="11" t="str">
        <f>IF(A27="","",Personale!P6)</f>
        <v/>
      </c>
      <c r="D27" s="11" t="str">
        <f>IF(A27="","",Personale!Q6)</f>
        <v/>
      </c>
      <c r="E27" s="11" t="str">
        <f>IF(A27="","",Personale!R6)</f>
        <v/>
      </c>
      <c r="F27" s="6" t="str">
        <f>IF(A27="","",Personale!T6)</f>
        <v/>
      </c>
      <c r="G27" s="2"/>
      <c r="H27" s="2" t="s">
        <v>22</v>
      </c>
      <c r="I27" s="2" t="s">
        <v>23</v>
      </c>
      <c r="J27" s="2"/>
      <c r="K27" s="2"/>
      <c r="L27" s="2"/>
      <c r="M27" s="2"/>
      <c r="N27" s="2"/>
    </row>
    <row r="28" spans="1:14" ht="30" customHeight="1">
      <c r="A28" s="2" t="str">
        <f>IF(Personale!B7="","",Personale!B7)</f>
        <v/>
      </c>
      <c r="B28" s="11" t="str">
        <f>IF(A28="","",Personale!N7)</f>
        <v/>
      </c>
      <c r="C28" s="11" t="str">
        <f>IF(A28="","",Personale!P7)</f>
        <v/>
      </c>
      <c r="D28" s="11" t="str">
        <f>IF(A28="","",Personale!Q7)</f>
        <v/>
      </c>
      <c r="E28" s="11" t="str">
        <f>IF(A28="","",Personale!R7)</f>
        <v/>
      </c>
      <c r="F28" s="6" t="str">
        <f>IF(A28="","",Personale!T7)</f>
        <v/>
      </c>
      <c r="G28" s="2"/>
      <c r="H28" s="2" t="s">
        <v>24</v>
      </c>
      <c r="I28" s="11">
        <f>B10</f>
        <v>0</v>
      </c>
      <c r="J28" s="2"/>
      <c r="K28" s="2"/>
      <c r="L28" s="2"/>
      <c r="M28" s="2"/>
      <c r="N28" s="2"/>
    </row>
    <row r="29" spans="1:14" ht="30" customHeight="1">
      <c r="A29" s="2" t="str">
        <f>IF(Personale!B8="","",Personale!B8)</f>
        <v/>
      </c>
      <c r="B29" s="11" t="str">
        <f>IF(A29="","",Personale!N8)</f>
        <v/>
      </c>
      <c r="C29" s="11" t="str">
        <f>IF(A29="","",Personale!P8)</f>
        <v/>
      </c>
      <c r="D29" s="11" t="str">
        <f>IF(A29="","",Personale!Q8)</f>
        <v/>
      </c>
      <c r="E29" s="11" t="str">
        <f>IF(A29="","",Personale!R8)</f>
        <v/>
      </c>
      <c r="F29" s="6" t="str">
        <f>IF(A29="","",Personale!T8)</f>
        <v/>
      </c>
      <c r="G29" s="2"/>
      <c r="H29" s="2" t="s">
        <v>25</v>
      </c>
      <c r="I29" s="11">
        <f>B9</f>
        <v>0</v>
      </c>
      <c r="J29" s="2"/>
      <c r="K29" s="2"/>
      <c r="L29" s="2"/>
      <c r="M29" s="2"/>
      <c r="N29" s="2"/>
    </row>
    <row r="30" spans="1:14" ht="30" customHeight="1">
      <c r="A30" s="2" t="str">
        <f>IF(Personale!B9="","",Personale!B9)</f>
        <v/>
      </c>
      <c r="B30" s="11" t="str">
        <f>IF(A30="","",Personale!N9)</f>
        <v/>
      </c>
      <c r="C30" s="11" t="str">
        <f>IF(A30="","",Personale!P9)</f>
        <v/>
      </c>
      <c r="D30" s="11" t="str">
        <f>IF(A30="","",Personale!Q9)</f>
        <v/>
      </c>
      <c r="E30" s="11" t="str">
        <f>IF(A30="","",Personale!R9)</f>
        <v/>
      </c>
      <c r="F30" s="6" t="str">
        <f>IF(A30="","",Personale!T9)</f>
        <v/>
      </c>
      <c r="G30" s="2"/>
      <c r="H30" s="2" t="s">
        <v>26</v>
      </c>
      <c r="I30" s="11">
        <f t="shared" ref="I30:I35" si="0">B11</f>
        <v>0</v>
      </c>
      <c r="J30" s="2"/>
      <c r="K30" s="2"/>
      <c r="L30" s="2"/>
      <c r="M30" s="2"/>
      <c r="N30" s="2"/>
    </row>
    <row r="31" spans="1:14" ht="30" customHeight="1">
      <c r="A31" s="2" t="str">
        <f>IF(Personale!B10="","",Personale!B10)</f>
        <v/>
      </c>
      <c r="B31" s="11" t="str">
        <f>IF(A31="","",Personale!N10)</f>
        <v/>
      </c>
      <c r="C31" s="11" t="str">
        <f>IF(A31="","",Personale!P10)</f>
        <v/>
      </c>
      <c r="D31" s="11" t="str">
        <f>IF(A31="","",Personale!Q10)</f>
        <v/>
      </c>
      <c r="E31" s="11" t="str">
        <f>IF(A31="","",Personale!R10)</f>
        <v/>
      </c>
      <c r="F31" s="6" t="str">
        <f>IF(A31="","",Personale!T10)</f>
        <v/>
      </c>
      <c r="G31" s="2"/>
      <c r="H31" s="2" t="s">
        <v>27</v>
      </c>
      <c r="I31" s="11">
        <f t="shared" si="0"/>
        <v>0</v>
      </c>
      <c r="J31" s="2"/>
      <c r="K31" s="2"/>
      <c r="L31" s="2"/>
      <c r="M31" s="2"/>
      <c r="N31" s="2"/>
    </row>
    <row r="32" spans="1:14" ht="30" customHeight="1">
      <c r="A32" s="2" t="str">
        <f>IF(Personale!B11="","",Personale!B11)</f>
        <v/>
      </c>
      <c r="B32" s="11" t="str">
        <f>IF(A32="","",Personale!N11)</f>
        <v/>
      </c>
      <c r="C32" s="11" t="str">
        <f>IF(A32="","",Personale!P11)</f>
        <v/>
      </c>
      <c r="D32" s="11" t="str">
        <f>IF(A32="","",Personale!Q11)</f>
        <v/>
      </c>
      <c r="E32" s="11" t="str">
        <f>IF(A32="","",Personale!R11)</f>
        <v/>
      </c>
      <c r="F32" s="6" t="str">
        <f>IF(A32="","",Personale!T11)</f>
        <v/>
      </c>
      <c r="G32" s="2"/>
      <c r="H32" s="2" t="s">
        <v>28</v>
      </c>
      <c r="I32" s="11">
        <f t="shared" si="0"/>
        <v>0</v>
      </c>
      <c r="J32" s="2"/>
      <c r="K32" s="2"/>
      <c r="L32" s="2"/>
      <c r="M32" s="2"/>
      <c r="N32" s="2"/>
    </row>
    <row r="33" spans="1:14" ht="30" customHeight="1">
      <c r="A33" s="2" t="str">
        <f>IF(Personale!B12="","",Personale!B12)</f>
        <v/>
      </c>
      <c r="B33" s="11" t="str">
        <f>IF(A33="","",Personale!N12)</f>
        <v/>
      </c>
      <c r="C33" s="11" t="str">
        <f>IF(A33="","",Personale!P12)</f>
        <v/>
      </c>
      <c r="D33" s="11" t="str">
        <f>IF(A33="","",Personale!Q12)</f>
        <v/>
      </c>
      <c r="E33" s="11" t="str">
        <f>IF(A33="","",Personale!R12)</f>
        <v/>
      </c>
      <c r="F33" s="6" t="str">
        <f>IF(A33="","",Personale!T12)</f>
        <v/>
      </c>
      <c r="G33" s="2"/>
      <c r="H33" s="2" t="s">
        <v>29</v>
      </c>
      <c r="I33" s="11">
        <f t="shared" si="0"/>
        <v>0</v>
      </c>
      <c r="J33" s="2"/>
      <c r="K33" s="2"/>
      <c r="L33" s="2"/>
      <c r="M33" s="2"/>
      <c r="N33" s="2"/>
    </row>
    <row r="34" spans="1:14" ht="30" customHeight="1">
      <c r="A34" s="2" t="str">
        <f>IF(Personale!B13="","",Personale!B13)</f>
        <v/>
      </c>
      <c r="B34" s="11" t="str">
        <f>IF(A34="","",Personale!N13)</f>
        <v/>
      </c>
      <c r="C34" s="11" t="str">
        <f>IF(A34="","",Personale!P13)</f>
        <v/>
      </c>
      <c r="D34" s="11" t="str">
        <f>IF(A34="","",Personale!Q13)</f>
        <v/>
      </c>
      <c r="E34" s="11" t="str">
        <f>IF(A34="","",Personale!R13)</f>
        <v/>
      </c>
      <c r="F34" s="6" t="str">
        <f>IF(A34="","",Personale!T13)</f>
        <v/>
      </c>
      <c r="G34" s="2"/>
      <c r="H34" s="2" t="s">
        <v>30</v>
      </c>
      <c r="I34" s="11">
        <f t="shared" si="0"/>
        <v>0</v>
      </c>
      <c r="J34" s="2"/>
      <c r="K34" s="2"/>
      <c r="L34" s="2"/>
      <c r="M34" s="2"/>
      <c r="N34" s="2"/>
    </row>
    <row r="35" spans="1:14" ht="30" customHeight="1">
      <c r="A35" s="2" t="str">
        <f>IF(Personale!B14="","",Personale!B14)</f>
        <v/>
      </c>
      <c r="B35" s="11" t="str">
        <f>IF(A35="","",Personale!N14)</f>
        <v/>
      </c>
      <c r="C35" s="11" t="str">
        <f>IF(A35="","",Personale!P14)</f>
        <v/>
      </c>
      <c r="D35" s="11" t="str">
        <f>IF(A35="","",Personale!Q14)</f>
        <v/>
      </c>
      <c r="E35" s="11" t="str">
        <f>IF(A35="","",Personale!R14)</f>
        <v/>
      </c>
      <c r="F35" s="6" t="str">
        <f>IF(A35="","",Personale!T14)</f>
        <v/>
      </c>
      <c r="G35" s="2"/>
      <c r="H35" s="2" t="s">
        <v>31</v>
      </c>
      <c r="I35" s="11">
        <f t="shared" si="0"/>
        <v>0</v>
      </c>
      <c r="J35" s="2"/>
      <c r="K35" s="2"/>
      <c r="L35" s="2"/>
      <c r="M35" s="2"/>
      <c r="N35" s="2"/>
    </row>
    <row r="36" spans="1:14" ht="30" customHeight="1">
      <c r="A36" s="2" t="str">
        <f>IF(Personale!B15="","",Personale!B15)</f>
        <v/>
      </c>
      <c r="B36" s="11" t="str">
        <f>IF(A36="","",Personale!N15)</f>
        <v/>
      </c>
      <c r="C36" s="11" t="str">
        <f>IF(A36="","",Personale!P15)</f>
        <v/>
      </c>
      <c r="D36" s="11" t="str">
        <f>IF(A36="","",Personale!Q15)</f>
        <v/>
      </c>
      <c r="E36" s="11" t="str">
        <f>IF(A36="","",Personale!R15)</f>
        <v/>
      </c>
      <c r="F36" s="6" t="str">
        <f>IF(A36="","",Personale!T15)</f>
        <v/>
      </c>
      <c r="G36" s="2"/>
      <c r="H36" s="2"/>
      <c r="I36" s="2"/>
      <c r="J36" s="2"/>
      <c r="K36" s="2"/>
      <c r="L36" s="2"/>
      <c r="M36" s="2"/>
      <c r="N36" s="2"/>
    </row>
    <row r="37" spans="1:14" ht="30" customHeight="1">
      <c r="A37" s="2" t="str">
        <f>IF(Personale!B16="","",Personale!B16)</f>
        <v/>
      </c>
      <c r="B37" s="11" t="str">
        <f>IF(A37="","",Personale!N16)</f>
        <v/>
      </c>
      <c r="C37" s="11" t="str">
        <f>IF(A37="","",Personale!P16)</f>
        <v/>
      </c>
      <c r="D37" s="11" t="str">
        <f>IF(A37="","",Personale!Q16)</f>
        <v/>
      </c>
      <c r="E37" s="11" t="str">
        <f>IF(A37="","",Personale!R16)</f>
        <v/>
      </c>
      <c r="F37" s="6" t="str">
        <f>IF(A37="","",Personale!T16)</f>
        <v/>
      </c>
      <c r="G37" s="2"/>
      <c r="H37" s="2"/>
      <c r="I37" s="2"/>
      <c r="J37" s="2"/>
      <c r="K37" s="2"/>
      <c r="L37" s="2"/>
      <c r="M37" s="2"/>
      <c r="N37" s="2"/>
    </row>
    <row r="38" spans="1:14" ht="30" customHeight="1">
      <c r="A38" s="2" t="str">
        <f>IF(Personale!B17="","",Personale!B17)</f>
        <v/>
      </c>
      <c r="B38" s="11" t="str">
        <f>IF(A38="","",Personale!N17)</f>
        <v/>
      </c>
      <c r="C38" s="11" t="str">
        <f>IF(A38="","",Personale!P17)</f>
        <v/>
      </c>
      <c r="D38" s="11" t="str">
        <f>IF(A38="","",Personale!Q17)</f>
        <v/>
      </c>
      <c r="E38" s="11" t="str">
        <f>IF(A38="","",Personale!R17)</f>
        <v/>
      </c>
      <c r="F38" s="6" t="str">
        <f>IF(A38="","",Personale!T17)</f>
        <v/>
      </c>
      <c r="G38" s="2"/>
      <c r="H38" s="2"/>
      <c r="I38" s="2"/>
      <c r="J38" s="2"/>
      <c r="K38" s="2"/>
      <c r="L38" s="2"/>
      <c r="M38" s="2"/>
      <c r="N38" s="2"/>
    </row>
    <row r="39" spans="1:14" ht="30" customHeight="1">
      <c r="A39" s="2" t="str">
        <f>IF(Personale!B18="","",Personale!B18)</f>
        <v/>
      </c>
      <c r="B39" s="11" t="str">
        <f>IF(A39="","",Personale!N18)</f>
        <v/>
      </c>
      <c r="C39" s="11" t="str">
        <f>IF(A39="","",Personale!P18)</f>
        <v/>
      </c>
      <c r="D39" s="11" t="str">
        <f>IF(A39="","",Personale!Q18)</f>
        <v/>
      </c>
      <c r="E39" s="11" t="str">
        <f>IF(A39="","",Personale!R18)</f>
        <v/>
      </c>
      <c r="F39" s="6" t="str">
        <f>IF(A39="","",Personale!T18)</f>
        <v/>
      </c>
      <c r="G39" s="2"/>
      <c r="H39" s="2"/>
      <c r="I39" s="2"/>
      <c r="J39" s="2"/>
      <c r="K39" s="2"/>
      <c r="L39" s="2"/>
      <c r="M39" s="2"/>
      <c r="N39" s="2"/>
    </row>
    <row r="40" spans="1:14" ht="30" customHeight="1">
      <c r="A40" s="2" t="str">
        <f>IF(Personale!B19="","",Personale!B19)</f>
        <v/>
      </c>
      <c r="B40" s="11" t="str">
        <f>IF(A40="","",Personale!N19)</f>
        <v/>
      </c>
      <c r="C40" s="11" t="str">
        <f>IF(A40="","",Personale!P19)</f>
        <v/>
      </c>
      <c r="D40" s="11" t="str">
        <f>IF(A40="","",Personale!Q19)</f>
        <v/>
      </c>
      <c r="E40" s="11" t="str">
        <f>IF(A40="","",Personale!R19)</f>
        <v/>
      </c>
      <c r="F40" s="6" t="str">
        <f>IF(A40="","",Personale!T19)</f>
        <v/>
      </c>
      <c r="G40" s="2"/>
      <c r="H40" s="2"/>
      <c r="I40" s="2"/>
      <c r="J40" s="2"/>
      <c r="K40" s="2"/>
      <c r="L40" s="2"/>
      <c r="M40" s="2"/>
      <c r="N40" s="2"/>
    </row>
    <row r="41" spans="1:14" ht="30" customHeight="1">
      <c r="A41" s="2" t="str">
        <f>IF(Personale!B20="","",Personale!B20)</f>
        <v/>
      </c>
      <c r="B41" s="11" t="str">
        <f>IF(A41="","",Personale!N20)</f>
        <v/>
      </c>
      <c r="C41" s="11" t="str">
        <f>IF(A41="","",Personale!P20)</f>
        <v/>
      </c>
      <c r="D41" s="11" t="str">
        <f>IF(A41="","",Personale!Q20)</f>
        <v/>
      </c>
      <c r="E41" s="11" t="str">
        <f>IF(A41="","",Personale!R20)</f>
        <v/>
      </c>
      <c r="F41" s="6" t="str">
        <f>IF(A41="","",Personale!T20)</f>
        <v/>
      </c>
      <c r="G41" s="2"/>
      <c r="H41" s="2"/>
      <c r="I41" s="2"/>
      <c r="J41" s="2"/>
      <c r="K41" s="2"/>
      <c r="L41" s="2"/>
      <c r="M41" s="2"/>
      <c r="N41" s="2"/>
    </row>
    <row r="42" spans="1:14" ht="30" customHeight="1">
      <c r="A42" s="2" t="str">
        <f>IF(Personale!B21="","",Personale!B21)</f>
        <v/>
      </c>
      <c r="B42" s="11" t="str">
        <f>IF(A42="","",Personale!N21)</f>
        <v/>
      </c>
      <c r="C42" s="11" t="str">
        <f>IF(A42="","",Personale!P21)</f>
        <v/>
      </c>
      <c r="D42" s="11" t="str">
        <f>IF(A42="","",Personale!Q21)</f>
        <v/>
      </c>
      <c r="E42" s="11" t="str">
        <f>IF(A42="","",Personale!R21)</f>
        <v/>
      </c>
      <c r="F42" s="6" t="str">
        <f>IF(A42="","",Personale!T21)</f>
        <v/>
      </c>
      <c r="G42" s="2"/>
      <c r="H42" s="2"/>
      <c r="I42" s="2"/>
      <c r="J42" s="2"/>
      <c r="K42" s="2"/>
      <c r="L42" s="2"/>
      <c r="M42" s="2"/>
      <c r="N42" s="2"/>
    </row>
    <row r="43" spans="1:14" ht="30" customHeight="1">
      <c r="A43" s="2" t="str">
        <f>IF(Personale!B22="","",Personale!B22)</f>
        <v/>
      </c>
      <c r="B43" s="11" t="str">
        <f>IF(A43="","",Personale!N22)</f>
        <v/>
      </c>
      <c r="C43" s="11" t="str">
        <f>IF(A43="","",Personale!P22)</f>
        <v/>
      </c>
      <c r="D43" s="11" t="str">
        <f>IF(A43="","",Personale!Q22)</f>
        <v/>
      </c>
      <c r="E43" s="11" t="str">
        <f>IF(A43="","",Personale!R22)</f>
        <v/>
      </c>
      <c r="F43" s="6" t="str">
        <f>IF(A43="","",Personale!T22)</f>
        <v/>
      </c>
      <c r="G43" s="2"/>
      <c r="H43" s="2"/>
      <c r="I43" s="2"/>
      <c r="J43" s="2"/>
      <c r="K43" s="2"/>
      <c r="L43" s="2"/>
      <c r="M43" s="2"/>
      <c r="N43" s="2"/>
    </row>
    <row r="44" spans="1:14" ht="30" customHeight="1">
      <c r="A44" s="2" t="str">
        <f>IF(Personale!B23="","",Personale!B23)</f>
        <v/>
      </c>
      <c r="B44" s="11" t="str">
        <f>IF(A44="","",Personale!N23)</f>
        <v/>
      </c>
      <c r="C44" s="11" t="str">
        <f>IF(A44="","",Personale!P23)</f>
        <v/>
      </c>
      <c r="D44" s="11" t="str">
        <f>IF(A44="","",Personale!Q23)</f>
        <v/>
      </c>
      <c r="E44" s="11" t="str">
        <f>IF(A44="","",Personale!R23)</f>
        <v/>
      </c>
      <c r="F44" s="6" t="str">
        <f>IF(A44="","",Personale!T23)</f>
        <v/>
      </c>
      <c r="G44" s="2"/>
      <c r="H44" s="2"/>
      <c r="I44" s="2"/>
      <c r="J44" s="2"/>
      <c r="K44" s="2"/>
      <c r="L44" s="2"/>
      <c r="M44" s="2"/>
      <c r="N44" s="2"/>
    </row>
    <row r="45" spans="1:14" ht="30" customHeight="1">
      <c r="A45" s="2" t="str">
        <f>IF(Personale!B24="","",Personale!B24)</f>
        <v/>
      </c>
      <c r="B45" s="11" t="str">
        <f>IF(A45="","",Personale!N24)</f>
        <v/>
      </c>
      <c r="C45" s="11" t="str">
        <f>IF(A45="","",Personale!P24)</f>
        <v/>
      </c>
      <c r="D45" s="11" t="str">
        <f>IF(A45="","",Personale!Q24)</f>
        <v/>
      </c>
      <c r="E45" s="11" t="str">
        <f>IF(A45="","",Personale!R24)</f>
        <v/>
      </c>
      <c r="F45" s="6" t="str">
        <f>IF(A45="","",Personale!T24)</f>
        <v/>
      </c>
      <c r="G45" s="2"/>
      <c r="H45" s="2"/>
      <c r="I45" s="2"/>
      <c r="J45" s="2"/>
      <c r="K45" s="2"/>
      <c r="L45" s="2"/>
      <c r="M45" s="2"/>
      <c r="N45" s="2"/>
    </row>
    <row r="46" spans="1:14" ht="30" customHeight="1">
      <c r="A46" s="2" t="str">
        <f>IF(Personale!B25="","",Personale!B25)</f>
        <v/>
      </c>
      <c r="B46" s="11" t="str">
        <f>IF(A46="","",Personale!N25)</f>
        <v/>
      </c>
      <c r="C46" s="11" t="str">
        <f>IF(A46="","",Personale!P25)</f>
        <v/>
      </c>
      <c r="D46" s="11" t="str">
        <f>IF(A46="","",Personale!Q25)</f>
        <v/>
      </c>
      <c r="E46" s="11" t="str">
        <f>IF(A46="","",Personale!R25)</f>
        <v/>
      </c>
      <c r="F46" s="6" t="str">
        <f>IF(A46="","",Personale!T25)</f>
        <v/>
      </c>
      <c r="G46" s="2"/>
      <c r="H46" s="2"/>
      <c r="I46" s="2"/>
      <c r="J46" s="2"/>
      <c r="K46" s="2"/>
      <c r="L46" s="2"/>
      <c r="M46" s="2"/>
      <c r="N46" s="2"/>
    </row>
    <row r="47" spans="1:14" ht="24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 ht="24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spans="1:14" ht="24" customHeight="1">
      <c r="A49" s="2" t="s">
        <v>32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spans="1:14" ht="24" customHeight="1">
      <c r="A50" s="2" t="s">
        <v>33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 spans="1:14" ht="24" customHeight="1">
      <c r="A51" s="2" t="s">
        <v>34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 spans="1:14" ht="24" customHeight="1">
      <c r="A52" s="2" t="s">
        <v>35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 spans="1:14" ht="24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 spans="1:14" ht="24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spans="1:14" ht="24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spans="1:14" ht="24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4" ht="24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4" ht="24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1:14" ht="24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4" ht="24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4" ht="24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  <row r="62" spans="1:14" ht="24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 spans="1:14" ht="24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 spans="1:14" ht="24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</row>
    <row r="65" spans="1:14" ht="24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</row>
  </sheetData>
  <conditionalFormatting sqref="B22">
    <cfRule type="containsText" dxfId="4" priority="1" operator="containsText" text="DA COMPLETARE"/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355F7B"/>
  </sheetPr>
  <dimension ref="A1:F85"/>
  <sheetViews>
    <sheetView showGridLines="0" tabSelected="1" workbookViewId="0">
      <pane ySplit="5" topLeftCell="A16" activePane="bottomLeft" state="frozen"/>
      <selection pane="bottomLeft" activeCell="C22" sqref="C22"/>
    </sheetView>
  </sheetViews>
  <sheetFormatPr defaultRowHeight="14.25"/>
  <cols>
    <col min="1" max="1" width="64" customWidth="1"/>
    <col min="2" max="2" width="25" customWidth="1"/>
    <col min="3" max="3" width="92" customWidth="1"/>
    <col min="4" max="6" width="24" customWidth="1"/>
  </cols>
  <sheetData>
    <row r="1" spans="1:6" ht="24" customHeight="1">
      <c r="A1" s="2"/>
      <c r="B1" s="2"/>
      <c r="C1" s="2"/>
      <c r="D1" s="2"/>
      <c r="E1" s="2"/>
      <c r="F1" s="2"/>
    </row>
    <row r="2" spans="1:6" ht="24" customHeight="1">
      <c r="A2" s="3" t="s">
        <v>36</v>
      </c>
      <c r="B2" s="2"/>
      <c r="C2" s="2"/>
      <c r="D2" s="2"/>
      <c r="E2" s="2"/>
      <c r="F2" s="2"/>
    </row>
    <row r="3" spans="1:6" ht="24" customHeight="1">
      <c r="A3" s="4" t="s">
        <v>1</v>
      </c>
      <c r="B3" s="2"/>
      <c r="C3" s="2"/>
      <c r="D3" s="2"/>
      <c r="E3" s="2"/>
      <c r="F3" s="2"/>
    </row>
    <row r="4" spans="1:6" ht="24" customHeight="1">
      <c r="A4" s="2"/>
      <c r="B4" s="2"/>
      <c r="C4" s="2"/>
      <c r="D4" s="2"/>
      <c r="E4" s="2"/>
      <c r="F4" s="2"/>
    </row>
    <row r="5" spans="1:6" ht="33.950000000000003" customHeight="1">
      <c r="A5" s="2" t="s">
        <v>37</v>
      </c>
      <c r="B5" s="5"/>
      <c r="C5" s="6" t="s">
        <v>38</v>
      </c>
      <c r="D5" s="2"/>
      <c r="E5" s="2"/>
      <c r="F5" s="2"/>
    </row>
    <row r="6" spans="1:6" ht="33.950000000000003" customHeight="1">
      <c r="A6" s="2" t="s">
        <v>39</v>
      </c>
      <c r="B6" s="5"/>
      <c r="C6" s="6" t="s">
        <v>40</v>
      </c>
      <c r="D6" s="2"/>
      <c r="E6" s="2"/>
      <c r="F6" s="2"/>
    </row>
    <row r="7" spans="1:6" ht="33.950000000000003" customHeight="1">
      <c r="A7" s="2" t="s">
        <v>41</v>
      </c>
      <c r="B7" s="5"/>
      <c r="C7" s="6" t="s">
        <v>42</v>
      </c>
      <c r="D7" s="2"/>
      <c r="E7" s="2"/>
      <c r="F7" s="2"/>
    </row>
    <row r="8" spans="1:6" ht="33.950000000000003" customHeight="1">
      <c r="A8" s="2" t="s">
        <v>43</v>
      </c>
      <c r="B8" s="5"/>
      <c r="C8" s="6" t="s">
        <v>44</v>
      </c>
      <c r="D8" s="2"/>
      <c r="E8" s="2"/>
      <c r="F8" s="2"/>
    </row>
    <row r="9" spans="1:6" ht="33.950000000000003" customHeight="1">
      <c r="A9" s="2" t="s">
        <v>2</v>
      </c>
      <c r="B9" s="5">
        <v>2026</v>
      </c>
      <c r="C9" s="6" t="s">
        <v>45</v>
      </c>
      <c r="D9" s="2"/>
      <c r="E9" s="2"/>
      <c r="F9" s="2"/>
    </row>
    <row r="10" spans="1:6" ht="33.950000000000003" customHeight="1">
      <c r="A10" s="2" t="s">
        <v>46</v>
      </c>
      <c r="B10" s="5" t="s">
        <v>47</v>
      </c>
      <c r="C10" s="6" t="s">
        <v>48</v>
      </c>
      <c r="D10" s="2"/>
      <c r="E10" s="2"/>
      <c r="F10" s="2"/>
    </row>
    <row r="11" spans="1:6" ht="33.950000000000003" customHeight="1">
      <c r="A11" s="2" t="s">
        <v>49</v>
      </c>
      <c r="B11" s="5" t="s">
        <v>50</v>
      </c>
      <c r="C11" s="6" t="s">
        <v>51</v>
      </c>
      <c r="D11" s="2"/>
      <c r="E11" s="2"/>
      <c r="F11" s="2"/>
    </row>
    <row r="12" spans="1:6" ht="33.950000000000003" customHeight="1">
      <c r="A12" s="2" t="s">
        <v>52</v>
      </c>
      <c r="B12" s="5" t="s">
        <v>53</v>
      </c>
      <c r="C12" s="6" t="s">
        <v>54</v>
      </c>
      <c r="D12" s="2"/>
      <c r="E12" s="2"/>
      <c r="F12" s="2"/>
    </row>
    <row r="13" spans="1:6" ht="33.950000000000003" customHeight="1">
      <c r="A13" s="2" t="s">
        <v>55</v>
      </c>
      <c r="B13" s="7"/>
      <c r="C13" s="6" t="s">
        <v>56</v>
      </c>
      <c r="D13" s="2"/>
      <c r="E13" s="2"/>
      <c r="F13" s="2"/>
    </row>
    <row r="14" spans="1:6" ht="33.950000000000003" customHeight="1">
      <c r="A14" s="2" t="s">
        <v>57</v>
      </c>
      <c r="B14" s="7"/>
      <c r="C14" s="6" t="s">
        <v>58</v>
      </c>
      <c r="D14" s="2"/>
      <c r="E14" s="2"/>
      <c r="F14" s="2"/>
    </row>
    <row r="15" spans="1:6" ht="33.950000000000003" customHeight="1">
      <c r="A15" s="2" t="s">
        <v>59</v>
      </c>
      <c r="B15" s="5" t="s">
        <v>60</v>
      </c>
      <c r="C15" s="6" t="s">
        <v>61</v>
      </c>
      <c r="D15" s="2"/>
      <c r="E15" s="2"/>
      <c r="F15" s="2"/>
    </row>
    <row r="16" spans="1:6" ht="33.950000000000003" customHeight="1">
      <c r="A16" s="2" t="s">
        <v>62</v>
      </c>
      <c r="B16" s="8">
        <v>1</v>
      </c>
      <c r="C16" s="6" t="s">
        <v>63</v>
      </c>
      <c r="D16" s="2"/>
      <c r="E16" s="2"/>
      <c r="F16" s="2"/>
    </row>
    <row r="17" spans="1:6" ht="33.950000000000003" customHeight="1">
      <c r="A17" s="2" t="s">
        <v>64</v>
      </c>
      <c r="B17" s="8">
        <v>0</v>
      </c>
      <c r="C17" s="6" t="s">
        <v>65</v>
      </c>
      <c r="D17" s="2"/>
      <c r="E17" s="2"/>
      <c r="F17" s="2"/>
    </row>
    <row r="18" spans="1:6" ht="33.950000000000003" customHeight="1">
      <c r="A18" s="2" t="s">
        <v>66</v>
      </c>
      <c r="B18" s="5" t="s">
        <v>67</v>
      </c>
      <c r="C18" s="6" t="s">
        <v>68</v>
      </c>
      <c r="D18" s="2"/>
      <c r="E18" s="2"/>
      <c r="F18" s="2"/>
    </row>
    <row r="19" spans="1:6" ht="33.950000000000003" customHeight="1">
      <c r="A19" s="2" t="s">
        <v>69</v>
      </c>
      <c r="B19" s="5" t="s">
        <v>60</v>
      </c>
      <c r="C19" s="6" t="s">
        <v>70</v>
      </c>
      <c r="D19" s="2"/>
      <c r="E19" s="2"/>
      <c r="F19" s="2"/>
    </row>
    <row r="20" spans="1:6" ht="33.950000000000003" customHeight="1">
      <c r="A20" s="2" t="s">
        <v>71</v>
      </c>
      <c r="B20" s="5" t="s">
        <v>60</v>
      </c>
      <c r="C20" s="6" t="s">
        <v>72</v>
      </c>
      <c r="D20" s="2"/>
      <c r="E20" s="2"/>
      <c r="F20" s="2"/>
    </row>
    <row r="21" spans="1:6" ht="33.950000000000003" customHeight="1">
      <c r="A21" s="2" t="s">
        <v>73</v>
      </c>
      <c r="B21" s="5" t="s">
        <v>60</v>
      </c>
      <c r="C21" s="6" t="s">
        <v>74</v>
      </c>
      <c r="D21" s="2"/>
      <c r="E21" s="2"/>
      <c r="F21" s="2"/>
    </row>
    <row r="22" spans="1:6" ht="33.950000000000003" customHeight="1">
      <c r="A22" s="2" t="s">
        <v>75</v>
      </c>
      <c r="B22" s="5" t="s">
        <v>60</v>
      </c>
      <c r="C22" s="6" t="s">
        <v>76</v>
      </c>
      <c r="D22" s="2"/>
      <c r="E22" s="2"/>
      <c r="F22" s="2"/>
    </row>
    <row r="23" spans="1:6" ht="33.950000000000003" customHeight="1">
      <c r="A23" s="2" t="s">
        <v>77</v>
      </c>
      <c r="B23" s="5" t="s">
        <v>60</v>
      </c>
      <c r="C23" s="6" t="s">
        <v>78</v>
      </c>
      <c r="D23" s="2"/>
      <c r="E23" s="2"/>
      <c r="F23" s="2"/>
    </row>
    <row r="24" spans="1:6" ht="33.950000000000003" customHeight="1">
      <c r="A24" s="2" t="s">
        <v>79</v>
      </c>
      <c r="B24" s="5" t="s">
        <v>60</v>
      </c>
      <c r="C24" s="6" t="s">
        <v>80</v>
      </c>
      <c r="D24" s="2"/>
      <c r="E24" s="2"/>
      <c r="F24" s="2"/>
    </row>
    <row r="25" spans="1:6" ht="33.950000000000003" customHeight="1">
      <c r="A25" s="2" t="s">
        <v>81</v>
      </c>
      <c r="B25" s="5" t="s">
        <v>60</v>
      </c>
      <c r="C25" s="6" t="s">
        <v>82</v>
      </c>
      <c r="D25" s="2"/>
      <c r="E25" s="2"/>
      <c r="F25" s="2"/>
    </row>
    <row r="26" spans="1:6" ht="33.950000000000003" customHeight="1">
      <c r="A26" s="2" t="s">
        <v>83</v>
      </c>
      <c r="B26" s="5" t="s">
        <v>60</v>
      </c>
      <c r="C26" s="6" t="s">
        <v>84</v>
      </c>
      <c r="D26" s="2"/>
      <c r="E26" s="2"/>
      <c r="F26" s="2"/>
    </row>
    <row r="27" spans="1:6" ht="33.950000000000003" customHeight="1">
      <c r="A27" s="2" t="s">
        <v>85</v>
      </c>
      <c r="B27" s="5" t="s">
        <v>60</v>
      </c>
      <c r="C27" s="6" t="s">
        <v>86</v>
      </c>
      <c r="D27" s="2"/>
      <c r="E27" s="2"/>
      <c r="F27" s="2"/>
    </row>
    <row r="28" spans="1:6" ht="33.950000000000003" customHeight="1">
      <c r="A28" s="2" t="s">
        <v>87</v>
      </c>
      <c r="B28" s="5"/>
      <c r="C28" s="6" t="s">
        <v>88</v>
      </c>
      <c r="D28" s="2"/>
      <c r="E28" s="2"/>
      <c r="F28" s="2"/>
    </row>
    <row r="29" spans="1:6" ht="33.950000000000003" customHeight="1">
      <c r="A29" s="2" t="s">
        <v>89</v>
      </c>
      <c r="B29" s="5" t="s">
        <v>67</v>
      </c>
      <c r="C29" s="6" t="s">
        <v>90</v>
      </c>
      <c r="D29" s="2"/>
      <c r="E29" s="2"/>
      <c r="F29" s="2"/>
    </row>
    <row r="30" spans="1:6" ht="33.950000000000003" customHeight="1">
      <c r="A30" s="2" t="s">
        <v>91</v>
      </c>
      <c r="B30" s="5"/>
      <c r="C30" s="6" t="s">
        <v>92</v>
      </c>
      <c r="D30" s="2"/>
      <c r="E30" s="2"/>
      <c r="F30" s="2"/>
    </row>
    <row r="31" spans="1:6" ht="33.950000000000003" customHeight="1">
      <c r="A31" s="2" t="s">
        <v>93</v>
      </c>
      <c r="B31" s="5" t="s">
        <v>67</v>
      </c>
      <c r="C31" s="6" t="s">
        <v>94</v>
      </c>
      <c r="D31" s="2"/>
      <c r="E31" s="2"/>
      <c r="F31" s="2"/>
    </row>
    <row r="32" spans="1:6" ht="33.950000000000003" customHeight="1">
      <c r="A32" s="2" t="s">
        <v>95</v>
      </c>
      <c r="B32" s="5" t="s">
        <v>67</v>
      </c>
      <c r="C32" s="6" t="s">
        <v>96</v>
      </c>
      <c r="D32" s="2"/>
      <c r="E32" s="2"/>
      <c r="F32" s="2"/>
    </row>
    <row r="33" spans="1:6" ht="33.950000000000003" customHeight="1">
      <c r="A33" s="2" t="s">
        <v>97</v>
      </c>
      <c r="B33" s="8">
        <v>0</v>
      </c>
      <c r="C33" s="6" t="s">
        <v>98</v>
      </c>
      <c r="D33" s="2"/>
      <c r="E33" s="2"/>
      <c r="F33" s="2"/>
    </row>
    <row r="34" spans="1:6" ht="33.950000000000003" customHeight="1">
      <c r="A34" s="2" t="s">
        <v>99</v>
      </c>
      <c r="B34" s="5"/>
      <c r="C34" s="6" t="s">
        <v>100</v>
      </c>
      <c r="D34" s="2"/>
      <c r="E34" s="2"/>
      <c r="F34" s="2"/>
    </row>
    <row r="35" spans="1:6" ht="33.950000000000003" customHeight="1">
      <c r="A35" s="2" t="s">
        <v>101</v>
      </c>
      <c r="B35" s="5"/>
      <c r="C35" s="6" t="s">
        <v>102</v>
      </c>
      <c r="D35" s="2"/>
      <c r="E35" s="2"/>
      <c r="F35" s="2"/>
    </row>
    <row r="36" spans="1:6" ht="33.950000000000003" customHeight="1">
      <c r="A36" s="2" t="s">
        <v>103</v>
      </c>
      <c r="B36" s="5" t="s">
        <v>60</v>
      </c>
      <c r="C36" s="6" t="s">
        <v>104</v>
      </c>
      <c r="D36" s="2"/>
      <c r="E36" s="2"/>
      <c r="F36" s="2"/>
    </row>
    <row r="37" spans="1:6" ht="33.950000000000003" customHeight="1">
      <c r="A37" s="2" t="s">
        <v>105</v>
      </c>
      <c r="B37" s="5" t="s">
        <v>67</v>
      </c>
      <c r="C37" s="6" t="s">
        <v>106</v>
      </c>
      <c r="D37" s="2"/>
      <c r="E37" s="2"/>
      <c r="F37" s="2"/>
    </row>
    <row r="38" spans="1:6" ht="33.950000000000003" customHeight="1">
      <c r="A38" s="2" t="s">
        <v>107</v>
      </c>
      <c r="B38" s="5"/>
      <c r="C38" s="6" t="s">
        <v>108</v>
      </c>
      <c r="D38" s="2"/>
      <c r="E38" s="2"/>
      <c r="F38" s="2"/>
    </row>
    <row r="39" spans="1:6" ht="33.950000000000003" customHeight="1">
      <c r="A39" s="2" t="s">
        <v>109</v>
      </c>
      <c r="B39" s="8"/>
      <c r="C39" s="6" t="s">
        <v>110</v>
      </c>
      <c r="D39" s="2"/>
      <c r="E39" s="2"/>
      <c r="F39" s="2"/>
    </row>
    <row r="40" spans="1:6" ht="33.950000000000003" customHeight="1">
      <c r="A40" s="2" t="s">
        <v>111</v>
      </c>
      <c r="B40" s="5" t="s">
        <v>60</v>
      </c>
      <c r="C40" s="6" t="s">
        <v>112</v>
      </c>
      <c r="D40" s="2"/>
      <c r="E40" s="2"/>
      <c r="F40" s="2"/>
    </row>
    <row r="41" spans="1:6" ht="24" customHeight="1">
      <c r="A41" s="2" t="s">
        <v>113</v>
      </c>
      <c r="B41" s="5" t="s">
        <v>67</v>
      </c>
      <c r="C41" s="2" t="s">
        <v>114</v>
      </c>
      <c r="D41" s="2"/>
      <c r="E41" s="2"/>
      <c r="F41" s="2"/>
    </row>
    <row r="42" spans="1:6" ht="44.1" customHeight="1">
      <c r="A42" s="9" t="s">
        <v>115</v>
      </c>
      <c r="B42" s="9" t="s">
        <v>116</v>
      </c>
      <c r="C42" s="9" t="s">
        <v>117</v>
      </c>
      <c r="D42" s="9" t="s">
        <v>118</v>
      </c>
      <c r="E42" s="9" t="s">
        <v>119</v>
      </c>
      <c r="F42" s="9" t="s">
        <v>120</v>
      </c>
    </row>
    <row r="43" spans="1:6" ht="24" customHeight="1">
      <c r="A43" s="2">
        <v>0</v>
      </c>
      <c r="B43" s="2">
        <v>1000000</v>
      </c>
      <c r="C43" s="10">
        <v>0.02</v>
      </c>
      <c r="D43" s="10">
        <v>0.02</v>
      </c>
      <c r="E43" s="11">
        <f>IF(ISNUMBER($B$13),MAX(0,MIN($B$13,B43)-A43),0)</f>
        <v>0</v>
      </c>
      <c r="F43" s="11">
        <f>E43*IF($B$10="Lavori",C43,D43)*$B$16*IF($B$11="Appalto",1,0.5)</f>
        <v>0</v>
      </c>
    </row>
    <row r="44" spans="1:6" ht="24" customHeight="1">
      <c r="A44" s="2">
        <v>1000000</v>
      </c>
      <c r="B44" s="2">
        <v>1250000</v>
      </c>
      <c r="C44" s="10">
        <v>0.02</v>
      </c>
      <c r="D44" s="10">
        <v>1.6E-2</v>
      </c>
      <c r="E44" s="11">
        <f>IF(ISNUMBER($B$13),MAX(0,MIN($B$13,B44)-A44),0)</f>
        <v>0</v>
      </c>
      <c r="F44" s="11">
        <f>E44*IF($B$10="Lavori",C44,D44)*$B$16*IF($B$11="Appalto",1,0.5)</f>
        <v>0</v>
      </c>
    </row>
    <row r="45" spans="1:6" ht="24" customHeight="1">
      <c r="A45" s="2">
        <v>1250000</v>
      </c>
      <c r="B45" s="2">
        <v>2000000</v>
      </c>
      <c r="C45" s="10">
        <v>1.7999999999999999E-2</v>
      </c>
      <c r="D45" s="10">
        <v>1.4999999999999999E-2</v>
      </c>
      <c r="E45" s="11">
        <f>IF(ISNUMBER($B$13),MAX(0,MIN($B$13,B45)-A45),0)</f>
        <v>0</v>
      </c>
      <c r="F45" s="11">
        <f>E45*IF($B$10="Lavori",C45,D45)*$B$16*IF($B$11="Appalto",1,0.5)</f>
        <v>0</v>
      </c>
    </row>
    <row r="46" spans="1:6" ht="24" customHeight="1">
      <c r="A46" s="2">
        <v>2000000</v>
      </c>
      <c r="B46" s="2">
        <v>2500000</v>
      </c>
      <c r="C46" s="10">
        <v>1.6E-2</v>
      </c>
      <c r="D46" s="10">
        <v>1.2999999999999999E-2</v>
      </c>
      <c r="E46" s="11">
        <f>IF(ISNUMBER($B$13),MAX(0,MIN($B$13,B46)-A46),0)</f>
        <v>0</v>
      </c>
      <c r="F46" s="11">
        <f>E46*IF($B$10="Lavori",C46,D46)*$B$16*IF($B$11="Appalto",1,0.5)</f>
        <v>0</v>
      </c>
    </row>
    <row r="47" spans="1:6" ht="24" customHeight="1">
      <c r="A47" s="2">
        <v>2500000</v>
      </c>
      <c r="B47" s="2">
        <v>1000000000000</v>
      </c>
      <c r="C47" s="10">
        <v>1.4999999999999999E-2</v>
      </c>
      <c r="D47" s="10">
        <v>1.2999999999999999E-2</v>
      </c>
      <c r="E47" s="11">
        <f>IF(ISNUMBER($B$13),MAX(0,MIN($B$13,B47)-A47),0)</f>
        <v>0</v>
      </c>
      <c r="F47" s="11">
        <f>E47*IF($B$10="Lavori",C47,D47)*$B$16*IF($B$11="Appalto",1,0.5)</f>
        <v>0</v>
      </c>
    </row>
    <row r="48" spans="1:6" ht="24" customHeight="1">
      <c r="A48" s="2"/>
      <c r="B48" s="2"/>
      <c r="C48" s="2" t="s">
        <v>121</v>
      </c>
      <c r="D48" s="2"/>
      <c r="E48" s="2"/>
      <c r="F48" s="2"/>
    </row>
    <row r="49" spans="1:6" ht="24" customHeight="1">
      <c r="A49" s="2"/>
      <c r="B49" s="2"/>
      <c r="C49" s="2"/>
      <c r="D49" s="2"/>
      <c r="E49" s="2"/>
      <c r="F49" s="2"/>
    </row>
    <row r="50" spans="1:6" ht="24" customHeight="1">
      <c r="A50" s="2"/>
      <c r="B50" s="2"/>
      <c r="C50" s="2"/>
      <c r="D50" s="2"/>
      <c r="E50" s="2"/>
      <c r="F50" s="2"/>
    </row>
    <row r="51" spans="1:6" ht="24" customHeight="1">
      <c r="A51" s="2" t="s">
        <v>122</v>
      </c>
      <c r="B51" s="13">
        <f>IF(B16&gt;0,SUM(F43:F47)/B16,0)</f>
        <v>0</v>
      </c>
      <c r="C51" s="2"/>
      <c r="D51" s="2"/>
      <c r="E51" s="2"/>
      <c r="F51" s="2"/>
    </row>
    <row r="52" spans="1:6" ht="24" customHeight="1">
      <c r="A52" s="2" t="s">
        <v>123</v>
      </c>
      <c r="B52" s="13">
        <f>SUM(F43:F47)</f>
        <v>0</v>
      </c>
      <c r="C52" s="2"/>
      <c r="D52" s="2"/>
      <c r="E52" s="2"/>
      <c r="F52" s="2"/>
    </row>
    <row r="53" spans="1:6" ht="24" customHeight="1">
      <c r="A53" s="2" t="s">
        <v>124</v>
      </c>
      <c r="B53" s="13">
        <f>IF(B54="AMMESSO",IF(B12="Nuovo",B52,B14),0)</f>
        <v>0</v>
      </c>
      <c r="C53" s="2"/>
      <c r="D53" s="2"/>
      <c r="E53" s="2"/>
      <c r="F53" s="2"/>
    </row>
    <row r="54" spans="1:6" ht="24" customHeight="1">
      <c r="A54" s="2" t="s">
        <v>125</v>
      </c>
      <c r="B54" s="12" t="str">
        <f>IF(NOT(ISNUMBER(B13)),"INSERIRE BASE",IF(B19&lt;&gt;"No","VERIFICARE ESCLUSIONI",IF(OR(B20&lt;&gt;"Si",B21&lt;&gt;"Si"),"VERIFICARE PRESUPPOSTI",IF(AND(B11="Concessione",B13&lt;1500000),"ESCLUSO SOTTO 1,5 MILIONI",IF(AND(B10="Lavori",B13&lt;80000,B18&lt;&gt;"Si"),"ESCLUSO SOTTO 80.000",IF(AND(B10&lt;&gt;"Lavori",B13&lt;140000),"ESCLUSO SOTTO 140.000",IF(AND(B10&lt;&gt;"Lavori",OR(B22&lt;&gt;"Si",B23&lt;&gt;"Si")),"VERIFICARE DEC",IF(AND(B12="Modifica",B15&lt;&gt;"Si"),"VERIFICARE RISERVA",IF(AND(B12&lt;&gt;"Nuovo",NOT(ISNUMBER(B14))),"INSERIRE FONDO ESISTENTE","AMMESSO")))))))))</f>
        <v>INSERIRE BASE</v>
      </c>
      <c r="C54" s="2"/>
      <c r="D54" s="2"/>
      <c r="E54" s="2"/>
      <c r="F54" s="2"/>
    </row>
    <row r="55" spans="1:6" ht="24" customHeight="1">
      <c r="A55" s="2" t="s">
        <v>126</v>
      </c>
      <c r="B55" s="13">
        <f>B53*80%</f>
        <v>0</v>
      </c>
      <c r="C55" s="2"/>
      <c r="D55" s="2"/>
      <c r="E55" s="2"/>
      <c r="F55" s="2"/>
    </row>
    <row r="56" spans="1:6" ht="24" customHeight="1">
      <c r="A56" s="2" t="s">
        <v>127</v>
      </c>
      <c r="B56" s="13">
        <f>B53*20%*(1-B17)</f>
        <v>0</v>
      </c>
      <c r="C56" s="2"/>
      <c r="D56" s="2"/>
      <c r="E56" s="2"/>
      <c r="F56" s="2"/>
    </row>
    <row r="57" spans="1:6" ht="24" customHeight="1">
      <c r="A57" s="2" t="s">
        <v>128</v>
      </c>
      <c r="B57" s="13">
        <f>B53*20%*B17</f>
        <v>0</v>
      </c>
      <c r="C57" s="2"/>
      <c r="D57" s="2"/>
      <c r="E57" s="2"/>
      <c r="F57" s="2"/>
    </row>
    <row r="58" spans="1:6" ht="24" customHeight="1">
      <c r="A58" s="2" t="s">
        <v>129</v>
      </c>
      <c r="B58" s="13">
        <f>IF(B32="Si",B53*B33,0)</f>
        <v>0</v>
      </c>
      <c r="C58" s="2"/>
      <c r="D58" s="2"/>
      <c r="E58" s="2"/>
      <c r="F58" s="2"/>
    </row>
    <row r="59" spans="1:6" ht="24" customHeight="1">
      <c r="A59" s="2" t="s">
        <v>130</v>
      </c>
      <c r="B59" s="13">
        <f>MIN(B53*25%,SUM(Voci!K6:K24))</f>
        <v>0</v>
      </c>
      <c r="C59" s="2"/>
      <c r="D59" s="2"/>
      <c r="E59" s="2"/>
      <c r="F59" s="2"/>
    </row>
    <row r="60" spans="1:6" ht="24" customHeight="1">
      <c r="A60" s="2" t="s">
        <v>131</v>
      </c>
      <c r="B60" s="13">
        <f>MIN(B58,B59)</f>
        <v>0</v>
      </c>
      <c r="C60" s="2"/>
      <c r="D60" s="2"/>
      <c r="E60" s="2"/>
      <c r="F60" s="2"/>
    </row>
    <row r="61" spans="1:6" ht="24" customHeight="1">
      <c r="A61" s="2" t="s">
        <v>132</v>
      </c>
      <c r="B61" s="13">
        <f>MAX(0,B58-B59)</f>
        <v>0</v>
      </c>
      <c r="C61" s="2"/>
      <c r="D61" s="2"/>
      <c r="E61" s="2"/>
      <c r="F61" s="2"/>
    </row>
    <row r="62" spans="1:6" ht="24" customHeight="1">
      <c r="A62" s="2" t="s">
        <v>133</v>
      </c>
      <c r="B62" s="12" t="str">
        <f>IF(AND(B54="AMMESSO",B24="Si",B25="Si",B26="Si",B27="Si",B36="Si",B40="Si",B61&lt;0.005,B28&lt;&gt;"",OR(B29="No",AND(B30&lt;&gt;"",B30&lt;&gt;B28)),OR(B32="No",B34&lt;&gt;""),OR(B16=1,B35&lt;&gt;""),OR(B11&lt;&gt;"PPP",B35&lt;&gt;""),OR(B10="Lavori",AND(B29="No",B32="No"),ISNUMBER(B39))),"VERIFICATI","DA COMPLETARE")</f>
        <v>DA COMPLETARE</v>
      </c>
      <c r="C62" s="2"/>
      <c r="D62" s="2"/>
      <c r="E62" s="2"/>
      <c r="F62" s="2"/>
    </row>
    <row r="63" spans="1:6" ht="24" customHeight="1">
      <c r="A63" s="2" t="s">
        <v>14</v>
      </c>
      <c r="B63" s="13">
        <f>IF(B12="Nuovo",MAX(0,B51-B52),0)</f>
        <v>0</v>
      </c>
      <c r="C63" s="2" t="s">
        <v>134</v>
      </c>
      <c r="D63" s="2"/>
      <c r="E63" s="2"/>
      <c r="F63" s="2"/>
    </row>
    <row r="64" spans="1:6" ht="24" customHeight="1">
      <c r="A64" s="2" t="s">
        <v>135</v>
      </c>
      <c r="B64" s="12" t="s">
        <v>136</v>
      </c>
      <c r="C64" s="2"/>
      <c r="D64" s="2"/>
      <c r="E64" s="2"/>
      <c r="F64" s="2"/>
    </row>
    <row r="65" spans="1:6" ht="24" customHeight="1">
      <c r="A65" s="2"/>
      <c r="B65" s="2"/>
      <c r="C65" s="2"/>
      <c r="D65" s="2"/>
      <c r="E65" s="2"/>
      <c r="F65" s="2"/>
    </row>
    <row r="66" spans="1:6" ht="24" customHeight="1">
      <c r="A66" s="2"/>
      <c r="B66" s="2"/>
      <c r="C66" s="2"/>
      <c r="D66" s="2"/>
      <c r="E66" s="2"/>
      <c r="F66" s="2"/>
    </row>
    <row r="67" spans="1:6" ht="24" customHeight="1">
      <c r="A67" s="2" t="s">
        <v>137</v>
      </c>
      <c r="B67" s="2"/>
      <c r="C67" s="2"/>
      <c r="D67" s="2"/>
      <c r="E67" s="2"/>
      <c r="F67" s="2"/>
    </row>
    <row r="68" spans="1:6" ht="24" customHeight="1">
      <c r="A68" s="2" t="s">
        <v>138</v>
      </c>
      <c r="B68" s="2"/>
      <c r="C68" s="2"/>
      <c r="D68" s="2"/>
      <c r="E68" s="2"/>
      <c r="F68" s="2"/>
    </row>
    <row r="69" spans="1:6" ht="24" customHeight="1">
      <c r="A69" s="2" t="s">
        <v>139</v>
      </c>
      <c r="B69" s="2"/>
      <c r="C69" s="2"/>
      <c r="D69" s="2"/>
      <c r="E69" s="2"/>
      <c r="F69" s="2"/>
    </row>
    <row r="70" spans="1:6" ht="24" customHeight="1">
      <c r="A70" s="2"/>
      <c r="B70" s="2"/>
      <c r="C70" s="2"/>
      <c r="D70" s="2"/>
      <c r="E70" s="2"/>
      <c r="F70" s="2"/>
    </row>
    <row r="71" spans="1:6" ht="24" customHeight="1">
      <c r="A71" s="2" t="s">
        <v>140</v>
      </c>
      <c r="B71" s="2"/>
      <c r="C71" s="2"/>
      <c r="D71" s="2"/>
      <c r="E71" s="2"/>
      <c r="F71" s="2"/>
    </row>
    <row r="72" spans="1:6" ht="24" customHeight="1">
      <c r="A72" s="2"/>
      <c r="B72" s="2"/>
      <c r="C72" s="2"/>
      <c r="D72" s="2"/>
      <c r="E72" s="2"/>
      <c r="F72" s="2"/>
    </row>
    <row r="73" spans="1:6" ht="24" customHeight="1">
      <c r="A73" s="2"/>
      <c r="B73" s="2"/>
      <c r="C73" s="2"/>
      <c r="D73" s="2"/>
      <c r="E73" s="2"/>
      <c r="F73" s="2"/>
    </row>
    <row r="74" spans="1:6" ht="24" customHeight="1">
      <c r="A74" s="2"/>
      <c r="B74" s="2"/>
      <c r="C74" s="2"/>
      <c r="D74" s="2"/>
      <c r="E74" s="2"/>
      <c r="F74" s="2"/>
    </row>
    <row r="75" spans="1:6" ht="24" customHeight="1">
      <c r="A75" s="2"/>
      <c r="B75" s="2"/>
      <c r="C75" s="2"/>
      <c r="D75" s="2"/>
      <c r="E75" s="2"/>
      <c r="F75" s="2"/>
    </row>
    <row r="76" spans="1:6" ht="24" customHeight="1">
      <c r="A76" s="2"/>
      <c r="B76" s="2"/>
      <c r="C76" s="2"/>
      <c r="D76" s="2"/>
      <c r="E76" s="2"/>
      <c r="F76" s="2"/>
    </row>
    <row r="77" spans="1:6" ht="24" customHeight="1">
      <c r="A77" s="2"/>
      <c r="B77" s="2"/>
      <c r="C77" s="2"/>
      <c r="D77" s="2"/>
      <c r="E77" s="2"/>
      <c r="F77" s="2"/>
    </row>
    <row r="78" spans="1:6" ht="24" customHeight="1">
      <c r="A78" s="2"/>
      <c r="B78" s="2"/>
      <c r="C78" s="2"/>
      <c r="D78" s="2"/>
      <c r="E78" s="2"/>
      <c r="F78" s="2"/>
    </row>
    <row r="79" spans="1:6" ht="24" customHeight="1">
      <c r="A79" s="2"/>
      <c r="B79" s="2"/>
      <c r="C79" s="2"/>
      <c r="D79" s="2"/>
      <c r="E79" s="2"/>
      <c r="F79" s="2"/>
    </row>
    <row r="80" spans="1:6" ht="24" customHeight="1">
      <c r="A80" s="2"/>
      <c r="B80" s="2"/>
      <c r="C80" s="2"/>
      <c r="D80" s="2"/>
      <c r="E80" s="2"/>
      <c r="F80" s="2"/>
    </row>
    <row r="81" spans="1:6" ht="24" customHeight="1">
      <c r="A81" s="2"/>
      <c r="B81" s="2"/>
      <c r="C81" s="2"/>
      <c r="D81" s="2"/>
      <c r="E81" s="2"/>
      <c r="F81" s="2"/>
    </row>
    <row r="82" spans="1:6" ht="24" customHeight="1">
      <c r="A82" s="2"/>
      <c r="B82" s="2"/>
      <c r="C82" s="2"/>
      <c r="D82" s="2"/>
      <c r="E82" s="2"/>
      <c r="F82" s="2"/>
    </row>
    <row r="83" spans="1:6" ht="24" customHeight="1">
      <c r="A83" s="2"/>
      <c r="B83" s="2"/>
      <c r="C83" s="2"/>
      <c r="D83" s="2"/>
      <c r="E83" s="2"/>
      <c r="F83" s="2"/>
    </row>
    <row r="84" spans="1:6" ht="24" customHeight="1">
      <c r="A84" s="2"/>
      <c r="B84" s="2"/>
      <c r="C84" s="2"/>
      <c r="D84" s="2"/>
      <c r="E84" s="2"/>
      <c r="F84" s="2"/>
    </row>
    <row r="85" spans="1:6" ht="24" customHeight="1">
      <c r="A85" s="2"/>
      <c r="B85" s="2"/>
      <c r="C85" s="2"/>
      <c r="D85" s="2"/>
      <c r="E85" s="2"/>
      <c r="F85" s="2"/>
    </row>
  </sheetData>
  <dataValidations count="9">
    <dataValidation type="decimal" sqref="B13:B14" xr:uid="{00000000-0002-0000-0100-000000000000}">
      <formula1>0</formula1>
      <formula2>1000000000000</formula2>
    </dataValidation>
    <dataValidation type="decimal" sqref="B39 B16:B17" xr:uid="{00000000-0002-0000-0100-000002000000}">
      <formula1>0</formula1>
      <formula2>1</formula2>
    </dataValidation>
    <dataValidation type="decimal" sqref="B33" xr:uid="{00000000-0002-0000-0100-000004000000}">
      <formula1>0</formula1>
      <formula2>0.25</formula2>
    </dataValidation>
    <dataValidation type="list" sqref="B10" xr:uid="{00000000-0002-0000-0100-000006000000}">
      <formula1>"Lavori,Servizi,Forniture"</formula1>
    </dataValidation>
    <dataValidation type="list" sqref="B11" xr:uid="{00000000-0002-0000-0100-000007000000}">
      <formula1>"Appalto,Concessione,PPP"</formula1>
    </dataValidation>
    <dataValidation type="list" sqref="B12" xr:uid="{00000000-0002-0000-0100-000008000000}">
      <formula1>"Nuovo,Transitorio,Modifica"</formula1>
    </dataValidation>
    <dataValidation type="list" sqref="B41 B37 B31:B32 B29 B18" xr:uid="{00000000-0002-0000-0100-000009000000}">
      <formula1>"Si,No"</formula1>
    </dataValidation>
    <dataValidation type="list" sqref="B15 B40 B36 B19:B27" xr:uid="{00000000-0002-0000-0100-00000A000000}">
      <formula1>"Da verificare,Si,No"</formula1>
    </dataValidation>
    <dataValidation type="list" sqref="B28 B30" xr:uid="{00000000-0002-0000-0100-00001B000000}">
      <formula1>INDIRECT("Personale!$A$6:$A$25")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28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C6" sqref="C6"/>
    </sheetView>
  </sheetViews>
  <sheetFormatPr defaultRowHeight="14.25"/>
  <cols>
    <col min="1" max="1" width="9" customWidth="1"/>
    <col min="2" max="2" width="28" customWidth="1"/>
    <col min="3" max="5" width="19" customWidth="1"/>
    <col min="6" max="7" width="14" customWidth="1"/>
    <col min="8" max="19" width="21" customWidth="1"/>
    <col min="20" max="20" width="48" customWidth="1"/>
    <col min="21" max="21" width="22" customWidth="1"/>
  </cols>
  <sheetData>
    <row r="1" spans="1:22" ht="24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2" ht="24" customHeight="1">
      <c r="A2" s="3" t="s">
        <v>141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2" ht="24" customHeight="1">
      <c r="A3" s="4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2" ht="24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2" ht="44.1" customHeight="1">
      <c r="A5" s="9" t="s">
        <v>142</v>
      </c>
      <c r="B5" s="9" t="s">
        <v>16</v>
      </c>
      <c r="C5" s="9" t="s">
        <v>143</v>
      </c>
      <c r="D5" s="9" t="s">
        <v>144</v>
      </c>
      <c r="E5" s="9" t="s">
        <v>145</v>
      </c>
      <c r="F5" s="9" t="s">
        <v>146</v>
      </c>
      <c r="G5" s="9" t="s">
        <v>147</v>
      </c>
      <c r="H5" s="9" t="s">
        <v>148</v>
      </c>
      <c r="I5" s="9" t="s">
        <v>149</v>
      </c>
      <c r="J5" s="9" t="s">
        <v>150</v>
      </c>
      <c r="K5" s="9" t="s">
        <v>151</v>
      </c>
      <c r="L5" s="9" t="s">
        <v>152</v>
      </c>
      <c r="M5" s="9" t="s">
        <v>153</v>
      </c>
      <c r="N5" s="9" t="s">
        <v>17</v>
      </c>
      <c r="O5" s="9" t="s">
        <v>154</v>
      </c>
      <c r="P5" s="9" t="s">
        <v>155</v>
      </c>
      <c r="Q5" s="9" t="s">
        <v>156</v>
      </c>
      <c r="R5" s="9" t="s">
        <v>157</v>
      </c>
      <c r="S5" s="9" t="s">
        <v>158</v>
      </c>
      <c r="T5" s="9" t="s">
        <v>159</v>
      </c>
      <c r="U5" s="9" t="s">
        <v>160</v>
      </c>
      <c r="V5" t="s">
        <v>161</v>
      </c>
    </row>
    <row r="6" spans="1:22" ht="24" customHeight="1">
      <c r="A6" s="2" t="s">
        <v>162</v>
      </c>
      <c r="B6" s="5"/>
      <c r="C6" s="5"/>
      <c r="D6" s="5"/>
      <c r="E6" s="5"/>
      <c r="F6" s="8"/>
      <c r="G6" s="8"/>
      <c r="H6" s="7"/>
      <c r="I6" s="7">
        <v>0</v>
      </c>
      <c r="J6" s="7">
        <v>0</v>
      </c>
      <c r="K6" s="11">
        <f>IF(B6="",0,SUMIFS(Riparto!$W$6:$W$105,Riparto!$B$6:$B$105,A6))</f>
        <v>0</v>
      </c>
      <c r="L6" s="11">
        <f>IF(ISNUMBER(H6),H6*IF(Procedura!$B$31="Si",1.15,1),0)</f>
        <v>0</v>
      </c>
      <c r="M6" s="11">
        <f t="shared" ref="M6:M25" si="0">MAX(0,L6-I6)</f>
        <v>0</v>
      </c>
      <c r="N6" s="11">
        <f t="shared" ref="N6:N25" si="1">MIN(K6,M6)</f>
        <v>0</v>
      </c>
      <c r="O6" s="11">
        <f t="shared" ref="O6:O25" si="2">K6-N6</f>
        <v>0</v>
      </c>
      <c r="P6" s="11">
        <f t="shared" ref="P6:P25" si="3">N6*F6</f>
        <v>0</v>
      </c>
      <c r="Q6" s="11">
        <f t="shared" ref="Q6:Q25" si="4">N6*G6</f>
        <v>0</v>
      </c>
      <c r="R6" s="11">
        <f t="shared" ref="R6:R25" si="5">N6-J6</f>
        <v>0</v>
      </c>
      <c r="S6" s="11">
        <f t="shared" ref="S6:S25" si="6">N6+P6</f>
        <v>0</v>
      </c>
      <c r="T6" s="2" t="str">
        <f>IF(B6="",IF(COUNTIFS(Riparto!$B$6:$B$105,A6)&gt;0,"MANCA NOMINATIVO",""),IF(OR(NOT(ISNUMBER(F6)),NOT(ISNUMBER(G6)),NOT(ISNUMBER(H6)),C6="",D6="",E6=""),"COMPLETARE DATI E ALIQUOTE",IF(I6&gt;L6,"ALTRI INCENTIVI OLTRE LIMITE",IF(COUNTIFS($C$6:$C$25,C6,$D$6:$D$25,D6)&gt;1,"MATRICOLA DUPLICATA","DATI COMPLETI"))))</f>
        <v/>
      </c>
      <c r="U6" s="11">
        <f t="shared" ref="U6:U25" si="7">O6*(1+F6)</f>
        <v>0</v>
      </c>
      <c r="V6">
        <f t="shared" ref="V6:V25" si="8">IF(OR(T6="",T6="DATI COMPLETI"),0,1)</f>
        <v>0</v>
      </c>
    </row>
    <row r="7" spans="1:22" ht="24" customHeight="1">
      <c r="A7" s="2" t="s">
        <v>163</v>
      </c>
      <c r="B7" s="5"/>
      <c r="C7" s="5"/>
      <c r="D7" s="5"/>
      <c r="E7" s="5"/>
      <c r="F7" s="8"/>
      <c r="G7" s="8"/>
      <c r="H7" s="7"/>
      <c r="I7" s="7">
        <v>0</v>
      </c>
      <c r="J7" s="7">
        <v>0</v>
      </c>
      <c r="K7" s="11">
        <f>IF(B7="",0,SUMIFS(Riparto!$W$6:$W$105,Riparto!$B$6:$B$105,A7))</f>
        <v>0</v>
      </c>
      <c r="L7" s="11">
        <f>IF(ISNUMBER(H7),H7*IF(Procedura!$B$31="Si",1.15,1),0)</f>
        <v>0</v>
      </c>
      <c r="M7" s="11">
        <f t="shared" si="0"/>
        <v>0</v>
      </c>
      <c r="N7" s="11">
        <f t="shared" si="1"/>
        <v>0</v>
      </c>
      <c r="O7" s="11">
        <f t="shared" si="2"/>
        <v>0</v>
      </c>
      <c r="P7" s="11">
        <f t="shared" si="3"/>
        <v>0</v>
      </c>
      <c r="Q7" s="11">
        <f t="shared" si="4"/>
        <v>0</v>
      </c>
      <c r="R7" s="11">
        <f t="shared" si="5"/>
        <v>0</v>
      </c>
      <c r="S7" s="11">
        <f t="shared" si="6"/>
        <v>0</v>
      </c>
      <c r="T7" s="2" t="str">
        <f>IF(B7="",IF(COUNTIFS(Riparto!$B$6:$B$105,A7)&gt;0,"MANCA NOMINATIVO",""),IF(OR(NOT(ISNUMBER(F7)),NOT(ISNUMBER(G7)),NOT(ISNUMBER(H7)),C7="",D7="",E7=""),"COMPLETARE DATI E ALIQUOTE",IF(I7&gt;L7,"ALTRI INCENTIVI OLTRE LIMITE",IF(COUNTIFS($C$6:$C$25,C7,$D$6:$D$25,D7)&gt;1,"MATRICOLA DUPLICATA","DATI COMPLETI"))))</f>
        <v/>
      </c>
      <c r="U7" s="11">
        <f t="shared" si="7"/>
        <v>0</v>
      </c>
      <c r="V7">
        <f t="shared" si="8"/>
        <v>0</v>
      </c>
    </row>
    <row r="8" spans="1:22" ht="24" customHeight="1">
      <c r="A8" s="2" t="s">
        <v>164</v>
      </c>
      <c r="B8" s="5"/>
      <c r="C8" s="5"/>
      <c r="D8" s="5"/>
      <c r="E8" s="5"/>
      <c r="F8" s="8"/>
      <c r="G8" s="8"/>
      <c r="H8" s="7"/>
      <c r="I8" s="7">
        <v>0</v>
      </c>
      <c r="J8" s="7">
        <v>0</v>
      </c>
      <c r="K8" s="11">
        <f>IF(B8="",0,SUMIFS(Riparto!$W$6:$W$105,Riparto!$B$6:$B$105,A8))</f>
        <v>0</v>
      </c>
      <c r="L8" s="11">
        <f>IF(ISNUMBER(H8),H8*IF(Procedura!$B$31="Si",1.15,1),0)</f>
        <v>0</v>
      </c>
      <c r="M8" s="11">
        <f t="shared" si="0"/>
        <v>0</v>
      </c>
      <c r="N8" s="11">
        <f t="shared" si="1"/>
        <v>0</v>
      </c>
      <c r="O8" s="11">
        <f t="shared" si="2"/>
        <v>0</v>
      </c>
      <c r="P8" s="11">
        <f t="shared" si="3"/>
        <v>0</v>
      </c>
      <c r="Q8" s="11">
        <f t="shared" si="4"/>
        <v>0</v>
      </c>
      <c r="R8" s="11">
        <f t="shared" si="5"/>
        <v>0</v>
      </c>
      <c r="S8" s="11">
        <f t="shared" si="6"/>
        <v>0</v>
      </c>
      <c r="T8" s="2" t="str">
        <f>IF(B8="",IF(COUNTIFS(Riparto!$B$6:$B$105,A8)&gt;0,"MANCA NOMINATIVO",""),IF(OR(NOT(ISNUMBER(F8)),NOT(ISNUMBER(G8)),NOT(ISNUMBER(H8)),C8="",D8="",E8=""),"COMPLETARE DATI E ALIQUOTE",IF(I8&gt;L8,"ALTRI INCENTIVI OLTRE LIMITE",IF(COUNTIFS($C$6:$C$25,C8,$D$6:$D$25,D8)&gt;1,"MATRICOLA DUPLICATA","DATI COMPLETI"))))</f>
        <v/>
      </c>
      <c r="U8" s="11">
        <f t="shared" si="7"/>
        <v>0</v>
      </c>
      <c r="V8">
        <f t="shared" si="8"/>
        <v>0</v>
      </c>
    </row>
    <row r="9" spans="1:22" ht="24" customHeight="1">
      <c r="A9" s="2" t="s">
        <v>165</v>
      </c>
      <c r="B9" s="5"/>
      <c r="C9" s="5"/>
      <c r="D9" s="5"/>
      <c r="E9" s="5"/>
      <c r="F9" s="8"/>
      <c r="G9" s="8"/>
      <c r="H9" s="7"/>
      <c r="I9" s="7">
        <v>0</v>
      </c>
      <c r="J9" s="7">
        <v>0</v>
      </c>
      <c r="K9" s="11">
        <f>IF(B9="",0,SUMIFS(Riparto!$W$6:$W$105,Riparto!$B$6:$B$105,A9))</f>
        <v>0</v>
      </c>
      <c r="L9" s="11">
        <f>IF(ISNUMBER(H9),H9*IF(Procedura!$B$31="Si",1.15,1),0)</f>
        <v>0</v>
      </c>
      <c r="M9" s="11">
        <f t="shared" si="0"/>
        <v>0</v>
      </c>
      <c r="N9" s="11">
        <f t="shared" si="1"/>
        <v>0</v>
      </c>
      <c r="O9" s="11">
        <f t="shared" si="2"/>
        <v>0</v>
      </c>
      <c r="P9" s="11">
        <f t="shared" si="3"/>
        <v>0</v>
      </c>
      <c r="Q9" s="11">
        <f t="shared" si="4"/>
        <v>0</v>
      </c>
      <c r="R9" s="11">
        <f t="shared" si="5"/>
        <v>0</v>
      </c>
      <c r="S9" s="11">
        <f t="shared" si="6"/>
        <v>0</v>
      </c>
      <c r="T9" s="2" t="str">
        <f>IF(B9="",IF(COUNTIFS(Riparto!$B$6:$B$105,A9)&gt;0,"MANCA NOMINATIVO",""),IF(OR(NOT(ISNUMBER(F9)),NOT(ISNUMBER(G9)),NOT(ISNUMBER(H9)),C9="",D9="",E9=""),"COMPLETARE DATI E ALIQUOTE",IF(I9&gt;L9,"ALTRI INCENTIVI OLTRE LIMITE",IF(COUNTIFS($C$6:$C$25,C9,$D$6:$D$25,D9)&gt;1,"MATRICOLA DUPLICATA","DATI COMPLETI"))))</f>
        <v/>
      </c>
      <c r="U9" s="11">
        <f t="shared" si="7"/>
        <v>0</v>
      </c>
      <c r="V9">
        <f t="shared" si="8"/>
        <v>0</v>
      </c>
    </row>
    <row r="10" spans="1:22" ht="24" customHeight="1">
      <c r="A10" s="2" t="s">
        <v>166</v>
      </c>
      <c r="B10" s="5"/>
      <c r="C10" s="5"/>
      <c r="D10" s="5"/>
      <c r="E10" s="5"/>
      <c r="F10" s="8"/>
      <c r="G10" s="8"/>
      <c r="H10" s="7"/>
      <c r="I10" s="7">
        <v>0</v>
      </c>
      <c r="J10" s="7">
        <v>0</v>
      </c>
      <c r="K10" s="11">
        <f>IF(B10="",0,SUMIFS(Riparto!$W$6:$W$105,Riparto!$B$6:$B$105,A10))</f>
        <v>0</v>
      </c>
      <c r="L10" s="11">
        <f>IF(ISNUMBER(H10),H10*IF(Procedura!$B$31="Si",1.15,1),0)</f>
        <v>0</v>
      </c>
      <c r="M10" s="11">
        <f t="shared" si="0"/>
        <v>0</v>
      </c>
      <c r="N10" s="11">
        <f t="shared" si="1"/>
        <v>0</v>
      </c>
      <c r="O10" s="11">
        <f t="shared" si="2"/>
        <v>0</v>
      </c>
      <c r="P10" s="11">
        <f t="shared" si="3"/>
        <v>0</v>
      </c>
      <c r="Q10" s="11">
        <f t="shared" si="4"/>
        <v>0</v>
      </c>
      <c r="R10" s="11">
        <f t="shared" si="5"/>
        <v>0</v>
      </c>
      <c r="S10" s="11">
        <f t="shared" si="6"/>
        <v>0</v>
      </c>
      <c r="T10" s="2" t="str">
        <f>IF(B10="",IF(COUNTIFS(Riparto!$B$6:$B$105,A10)&gt;0,"MANCA NOMINATIVO",""),IF(OR(NOT(ISNUMBER(F10)),NOT(ISNUMBER(G10)),NOT(ISNUMBER(H10)),C10="",D10="",E10=""),"COMPLETARE DATI E ALIQUOTE",IF(I10&gt;L10,"ALTRI INCENTIVI OLTRE LIMITE",IF(COUNTIFS($C$6:$C$25,C10,$D$6:$D$25,D10)&gt;1,"MATRICOLA DUPLICATA","DATI COMPLETI"))))</f>
        <v/>
      </c>
      <c r="U10" s="11">
        <f t="shared" si="7"/>
        <v>0</v>
      </c>
      <c r="V10">
        <f t="shared" si="8"/>
        <v>0</v>
      </c>
    </row>
    <row r="11" spans="1:22" ht="24" customHeight="1">
      <c r="A11" s="2" t="s">
        <v>167</v>
      </c>
      <c r="B11" s="5"/>
      <c r="C11" s="5"/>
      <c r="D11" s="5"/>
      <c r="E11" s="5"/>
      <c r="F11" s="8"/>
      <c r="G11" s="8"/>
      <c r="H11" s="7"/>
      <c r="I11" s="7">
        <v>0</v>
      </c>
      <c r="J11" s="7">
        <v>0</v>
      </c>
      <c r="K11" s="11">
        <f>IF(B11="",0,SUMIFS(Riparto!$W$6:$W$105,Riparto!$B$6:$B$105,A11))</f>
        <v>0</v>
      </c>
      <c r="L11" s="11">
        <f>IF(ISNUMBER(H11),H11*IF(Procedura!$B$31="Si",1.15,1),0)</f>
        <v>0</v>
      </c>
      <c r="M11" s="11">
        <f t="shared" si="0"/>
        <v>0</v>
      </c>
      <c r="N11" s="11">
        <f t="shared" si="1"/>
        <v>0</v>
      </c>
      <c r="O11" s="11">
        <f t="shared" si="2"/>
        <v>0</v>
      </c>
      <c r="P11" s="11">
        <f t="shared" si="3"/>
        <v>0</v>
      </c>
      <c r="Q11" s="11">
        <f t="shared" si="4"/>
        <v>0</v>
      </c>
      <c r="R11" s="11">
        <f t="shared" si="5"/>
        <v>0</v>
      </c>
      <c r="S11" s="11">
        <f t="shared" si="6"/>
        <v>0</v>
      </c>
      <c r="T11" s="2" t="str">
        <f>IF(B11="",IF(COUNTIFS(Riparto!$B$6:$B$105,A11)&gt;0,"MANCA NOMINATIVO",""),IF(OR(NOT(ISNUMBER(F11)),NOT(ISNUMBER(G11)),NOT(ISNUMBER(H11)),C11="",D11="",E11=""),"COMPLETARE DATI E ALIQUOTE",IF(I11&gt;L11,"ALTRI INCENTIVI OLTRE LIMITE",IF(COUNTIFS($C$6:$C$25,C11,$D$6:$D$25,D11)&gt;1,"MATRICOLA DUPLICATA","DATI COMPLETI"))))</f>
        <v/>
      </c>
      <c r="U11" s="11">
        <f t="shared" si="7"/>
        <v>0</v>
      </c>
      <c r="V11">
        <f t="shared" si="8"/>
        <v>0</v>
      </c>
    </row>
    <row r="12" spans="1:22" ht="24" customHeight="1">
      <c r="A12" s="2" t="s">
        <v>168</v>
      </c>
      <c r="B12" s="5"/>
      <c r="C12" s="5"/>
      <c r="D12" s="5"/>
      <c r="E12" s="5"/>
      <c r="F12" s="8"/>
      <c r="G12" s="8"/>
      <c r="H12" s="7"/>
      <c r="I12" s="7">
        <v>0</v>
      </c>
      <c r="J12" s="7">
        <v>0</v>
      </c>
      <c r="K12" s="11">
        <f>IF(B12="",0,SUMIFS(Riparto!$W$6:$W$105,Riparto!$B$6:$B$105,A12))</f>
        <v>0</v>
      </c>
      <c r="L12" s="11">
        <f>IF(ISNUMBER(H12),H12*IF(Procedura!$B$31="Si",1.15,1),0)</f>
        <v>0</v>
      </c>
      <c r="M12" s="11">
        <f t="shared" si="0"/>
        <v>0</v>
      </c>
      <c r="N12" s="11">
        <f t="shared" si="1"/>
        <v>0</v>
      </c>
      <c r="O12" s="11">
        <f t="shared" si="2"/>
        <v>0</v>
      </c>
      <c r="P12" s="11">
        <f t="shared" si="3"/>
        <v>0</v>
      </c>
      <c r="Q12" s="11">
        <f t="shared" si="4"/>
        <v>0</v>
      </c>
      <c r="R12" s="11">
        <f t="shared" si="5"/>
        <v>0</v>
      </c>
      <c r="S12" s="11">
        <f t="shared" si="6"/>
        <v>0</v>
      </c>
      <c r="T12" s="2" t="str">
        <f>IF(B12="",IF(COUNTIFS(Riparto!$B$6:$B$105,A12)&gt;0,"MANCA NOMINATIVO",""),IF(OR(NOT(ISNUMBER(F12)),NOT(ISNUMBER(G12)),NOT(ISNUMBER(H12)),C12="",D12="",E12=""),"COMPLETARE DATI E ALIQUOTE",IF(I12&gt;L12,"ALTRI INCENTIVI OLTRE LIMITE",IF(COUNTIFS($C$6:$C$25,C12,$D$6:$D$25,D12)&gt;1,"MATRICOLA DUPLICATA","DATI COMPLETI"))))</f>
        <v/>
      </c>
      <c r="U12" s="11">
        <f t="shared" si="7"/>
        <v>0</v>
      </c>
      <c r="V12">
        <f t="shared" si="8"/>
        <v>0</v>
      </c>
    </row>
    <row r="13" spans="1:22" ht="24" customHeight="1">
      <c r="A13" s="2" t="s">
        <v>169</v>
      </c>
      <c r="B13" s="5"/>
      <c r="C13" s="5"/>
      <c r="D13" s="5"/>
      <c r="E13" s="5"/>
      <c r="F13" s="8"/>
      <c r="G13" s="8"/>
      <c r="H13" s="7"/>
      <c r="I13" s="7">
        <v>0</v>
      </c>
      <c r="J13" s="7">
        <v>0</v>
      </c>
      <c r="K13" s="11">
        <f>IF(B13="",0,SUMIFS(Riparto!$W$6:$W$105,Riparto!$B$6:$B$105,A13))</f>
        <v>0</v>
      </c>
      <c r="L13" s="11">
        <f>IF(ISNUMBER(H13),H13*IF(Procedura!$B$31="Si",1.15,1),0)</f>
        <v>0</v>
      </c>
      <c r="M13" s="11">
        <f t="shared" si="0"/>
        <v>0</v>
      </c>
      <c r="N13" s="11">
        <f t="shared" si="1"/>
        <v>0</v>
      </c>
      <c r="O13" s="11">
        <f t="shared" si="2"/>
        <v>0</v>
      </c>
      <c r="P13" s="11">
        <f t="shared" si="3"/>
        <v>0</v>
      </c>
      <c r="Q13" s="11">
        <f t="shared" si="4"/>
        <v>0</v>
      </c>
      <c r="R13" s="11">
        <f t="shared" si="5"/>
        <v>0</v>
      </c>
      <c r="S13" s="11">
        <f t="shared" si="6"/>
        <v>0</v>
      </c>
      <c r="T13" s="2" t="str">
        <f>IF(B13="",IF(COUNTIFS(Riparto!$B$6:$B$105,A13)&gt;0,"MANCA NOMINATIVO",""),IF(OR(NOT(ISNUMBER(F13)),NOT(ISNUMBER(G13)),NOT(ISNUMBER(H13)),C13="",D13="",E13=""),"COMPLETARE DATI E ALIQUOTE",IF(I13&gt;L13,"ALTRI INCENTIVI OLTRE LIMITE",IF(COUNTIFS($C$6:$C$25,C13,$D$6:$D$25,D13)&gt;1,"MATRICOLA DUPLICATA","DATI COMPLETI"))))</f>
        <v/>
      </c>
      <c r="U13" s="11">
        <f t="shared" si="7"/>
        <v>0</v>
      </c>
      <c r="V13">
        <f t="shared" si="8"/>
        <v>0</v>
      </c>
    </row>
    <row r="14" spans="1:22" ht="24" customHeight="1">
      <c r="A14" s="2" t="s">
        <v>170</v>
      </c>
      <c r="B14" s="5"/>
      <c r="C14" s="5"/>
      <c r="D14" s="5"/>
      <c r="E14" s="5"/>
      <c r="F14" s="8"/>
      <c r="G14" s="8"/>
      <c r="H14" s="7"/>
      <c r="I14" s="7">
        <v>0</v>
      </c>
      <c r="J14" s="7">
        <v>0</v>
      </c>
      <c r="K14" s="11">
        <f>IF(B14="",0,SUMIFS(Riparto!$W$6:$W$105,Riparto!$B$6:$B$105,A14))</f>
        <v>0</v>
      </c>
      <c r="L14" s="11">
        <f>IF(ISNUMBER(H14),H14*IF(Procedura!$B$31="Si",1.15,1),0)</f>
        <v>0</v>
      </c>
      <c r="M14" s="11">
        <f t="shared" si="0"/>
        <v>0</v>
      </c>
      <c r="N14" s="11">
        <f t="shared" si="1"/>
        <v>0</v>
      </c>
      <c r="O14" s="11">
        <f t="shared" si="2"/>
        <v>0</v>
      </c>
      <c r="P14" s="11">
        <f t="shared" si="3"/>
        <v>0</v>
      </c>
      <c r="Q14" s="11">
        <f t="shared" si="4"/>
        <v>0</v>
      </c>
      <c r="R14" s="11">
        <f t="shared" si="5"/>
        <v>0</v>
      </c>
      <c r="S14" s="11">
        <f t="shared" si="6"/>
        <v>0</v>
      </c>
      <c r="T14" s="2" t="str">
        <f>IF(B14="",IF(COUNTIFS(Riparto!$B$6:$B$105,A14)&gt;0,"MANCA NOMINATIVO",""),IF(OR(NOT(ISNUMBER(F14)),NOT(ISNUMBER(G14)),NOT(ISNUMBER(H14)),C14="",D14="",E14=""),"COMPLETARE DATI E ALIQUOTE",IF(I14&gt;L14,"ALTRI INCENTIVI OLTRE LIMITE",IF(COUNTIFS($C$6:$C$25,C14,$D$6:$D$25,D14)&gt;1,"MATRICOLA DUPLICATA","DATI COMPLETI"))))</f>
        <v/>
      </c>
      <c r="U14" s="11">
        <f t="shared" si="7"/>
        <v>0</v>
      </c>
      <c r="V14">
        <f t="shared" si="8"/>
        <v>0</v>
      </c>
    </row>
    <row r="15" spans="1:22" ht="24" customHeight="1">
      <c r="A15" s="2" t="s">
        <v>171</v>
      </c>
      <c r="B15" s="5"/>
      <c r="C15" s="5"/>
      <c r="D15" s="5"/>
      <c r="E15" s="5"/>
      <c r="F15" s="8"/>
      <c r="G15" s="8"/>
      <c r="H15" s="7"/>
      <c r="I15" s="7">
        <v>0</v>
      </c>
      <c r="J15" s="7">
        <v>0</v>
      </c>
      <c r="K15" s="11">
        <f>IF(B15="",0,SUMIFS(Riparto!$W$6:$W$105,Riparto!$B$6:$B$105,A15))</f>
        <v>0</v>
      </c>
      <c r="L15" s="11">
        <f>IF(ISNUMBER(H15),H15*IF(Procedura!$B$31="Si",1.15,1),0)</f>
        <v>0</v>
      </c>
      <c r="M15" s="11">
        <f t="shared" si="0"/>
        <v>0</v>
      </c>
      <c r="N15" s="11">
        <f t="shared" si="1"/>
        <v>0</v>
      </c>
      <c r="O15" s="11">
        <f t="shared" si="2"/>
        <v>0</v>
      </c>
      <c r="P15" s="11">
        <f t="shared" si="3"/>
        <v>0</v>
      </c>
      <c r="Q15" s="11">
        <f t="shared" si="4"/>
        <v>0</v>
      </c>
      <c r="R15" s="11">
        <f t="shared" si="5"/>
        <v>0</v>
      </c>
      <c r="S15" s="11">
        <f t="shared" si="6"/>
        <v>0</v>
      </c>
      <c r="T15" s="2" t="str">
        <f>IF(B15="",IF(COUNTIFS(Riparto!$B$6:$B$105,A15)&gt;0,"MANCA NOMINATIVO",""),IF(OR(NOT(ISNUMBER(F15)),NOT(ISNUMBER(G15)),NOT(ISNUMBER(H15)),C15="",D15="",E15=""),"COMPLETARE DATI E ALIQUOTE",IF(I15&gt;L15,"ALTRI INCENTIVI OLTRE LIMITE",IF(COUNTIFS($C$6:$C$25,C15,$D$6:$D$25,D15)&gt;1,"MATRICOLA DUPLICATA","DATI COMPLETI"))))</f>
        <v/>
      </c>
      <c r="U15" s="11">
        <f t="shared" si="7"/>
        <v>0</v>
      </c>
      <c r="V15">
        <f t="shared" si="8"/>
        <v>0</v>
      </c>
    </row>
    <row r="16" spans="1:22" ht="24" customHeight="1">
      <c r="A16" s="2" t="s">
        <v>172</v>
      </c>
      <c r="B16" s="5"/>
      <c r="C16" s="5"/>
      <c r="D16" s="5"/>
      <c r="E16" s="5"/>
      <c r="F16" s="8"/>
      <c r="G16" s="8"/>
      <c r="H16" s="7"/>
      <c r="I16" s="7">
        <v>0</v>
      </c>
      <c r="J16" s="7">
        <v>0</v>
      </c>
      <c r="K16" s="11">
        <f>IF(B16="",0,SUMIFS(Riparto!$W$6:$W$105,Riparto!$B$6:$B$105,A16))</f>
        <v>0</v>
      </c>
      <c r="L16" s="11">
        <f>IF(ISNUMBER(H16),H16*IF(Procedura!$B$31="Si",1.15,1),0)</f>
        <v>0</v>
      </c>
      <c r="M16" s="11">
        <f t="shared" si="0"/>
        <v>0</v>
      </c>
      <c r="N16" s="11">
        <f t="shared" si="1"/>
        <v>0</v>
      </c>
      <c r="O16" s="11">
        <f t="shared" si="2"/>
        <v>0</v>
      </c>
      <c r="P16" s="11">
        <f t="shared" si="3"/>
        <v>0</v>
      </c>
      <c r="Q16" s="11">
        <f t="shared" si="4"/>
        <v>0</v>
      </c>
      <c r="R16" s="11">
        <f t="shared" si="5"/>
        <v>0</v>
      </c>
      <c r="S16" s="11">
        <f t="shared" si="6"/>
        <v>0</v>
      </c>
      <c r="T16" s="2" t="str">
        <f>IF(B16="",IF(COUNTIFS(Riparto!$B$6:$B$105,A16)&gt;0,"MANCA NOMINATIVO",""),IF(OR(NOT(ISNUMBER(F16)),NOT(ISNUMBER(G16)),NOT(ISNUMBER(H16)),C16="",D16="",E16=""),"COMPLETARE DATI E ALIQUOTE",IF(I16&gt;L16,"ALTRI INCENTIVI OLTRE LIMITE",IF(COUNTIFS($C$6:$C$25,C16,$D$6:$D$25,D16)&gt;1,"MATRICOLA DUPLICATA","DATI COMPLETI"))))</f>
        <v/>
      </c>
      <c r="U16" s="11">
        <f t="shared" si="7"/>
        <v>0</v>
      </c>
      <c r="V16">
        <f t="shared" si="8"/>
        <v>0</v>
      </c>
    </row>
    <row r="17" spans="1:22" ht="24" customHeight="1">
      <c r="A17" s="2" t="s">
        <v>173</v>
      </c>
      <c r="B17" s="5"/>
      <c r="C17" s="5"/>
      <c r="D17" s="5"/>
      <c r="E17" s="5"/>
      <c r="F17" s="8"/>
      <c r="G17" s="8"/>
      <c r="H17" s="7"/>
      <c r="I17" s="7">
        <v>0</v>
      </c>
      <c r="J17" s="7">
        <v>0</v>
      </c>
      <c r="K17" s="11">
        <f>IF(B17="",0,SUMIFS(Riparto!$W$6:$W$105,Riparto!$B$6:$B$105,A17))</f>
        <v>0</v>
      </c>
      <c r="L17" s="11">
        <f>IF(ISNUMBER(H17),H17*IF(Procedura!$B$31="Si",1.15,1),0)</f>
        <v>0</v>
      </c>
      <c r="M17" s="11">
        <f t="shared" si="0"/>
        <v>0</v>
      </c>
      <c r="N17" s="11">
        <f t="shared" si="1"/>
        <v>0</v>
      </c>
      <c r="O17" s="11">
        <f t="shared" si="2"/>
        <v>0</v>
      </c>
      <c r="P17" s="11">
        <f t="shared" si="3"/>
        <v>0</v>
      </c>
      <c r="Q17" s="11">
        <f t="shared" si="4"/>
        <v>0</v>
      </c>
      <c r="R17" s="11">
        <f t="shared" si="5"/>
        <v>0</v>
      </c>
      <c r="S17" s="11">
        <f t="shared" si="6"/>
        <v>0</v>
      </c>
      <c r="T17" s="2" t="str">
        <f>IF(B17="",IF(COUNTIFS(Riparto!$B$6:$B$105,A17)&gt;0,"MANCA NOMINATIVO",""),IF(OR(NOT(ISNUMBER(F17)),NOT(ISNUMBER(G17)),NOT(ISNUMBER(H17)),C17="",D17="",E17=""),"COMPLETARE DATI E ALIQUOTE",IF(I17&gt;L17,"ALTRI INCENTIVI OLTRE LIMITE",IF(COUNTIFS($C$6:$C$25,C17,$D$6:$D$25,D17)&gt;1,"MATRICOLA DUPLICATA","DATI COMPLETI"))))</f>
        <v/>
      </c>
      <c r="U17" s="11">
        <f t="shared" si="7"/>
        <v>0</v>
      </c>
      <c r="V17">
        <f t="shared" si="8"/>
        <v>0</v>
      </c>
    </row>
    <row r="18" spans="1:22" ht="24" customHeight="1">
      <c r="A18" s="2" t="s">
        <v>174</v>
      </c>
      <c r="B18" s="5"/>
      <c r="C18" s="5"/>
      <c r="D18" s="5"/>
      <c r="E18" s="5"/>
      <c r="F18" s="8"/>
      <c r="G18" s="8"/>
      <c r="H18" s="7"/>
      <c r="I18" s="7">
        <v>0</v>
      </c>
      <c r="J18" s="7">
        <v>0</v>
      </c>
      <c r="K18" s="11">
        <f>IF(B18="",0,SUMIFS(Riparto!$W$6:$W$105,Riparto!$B$6:$B$105,A18))</f>
        <v>0</v>
      </c>
      <c r="L18" s="11">
        <f>IF(ISNUMBER(H18),H18*IF(Procedura!$B$31="Si",1.15,1),0)</f>
        <v>0</v>
      </c>
      <c r="M18" s="11">
        <f t="shared" si="0"/>
        <v>0</v>
      </c>
      <c r="N18" s="11">
        <f t="shared" si="1"/>
        <v>0</v>
      </c>
      <c r="O18" s="11">
        <f t="shared" si="2"/>
        <v>0</v>
      </c>
      <c r="P18" s="11">
        <f t="shared" si="3"/>
        <v>0</v>
      </c>
      <c r="Q18" s="11">
        <f t="shared" si="4"/>
        <v>0</v>
      </c>
      <c r="R18" s="11">
        <f t="shared" si="5"/>
        <v>0</v>
      </c>
      <c r="S18" s="11">
        <f t="shared" si="6"/>
        <v>0</v>
      </c>
      <c r="T18" s="2" t="str">
        <f>IF(B18="",IF(COUNTIFS(Riparto!$B$6:$B$105,A18)&gt;0,"MANCA NOMINATIVO",""),IF(OR(NOT(ISNUMBER(F18)),NOT(ISNUMBER(G18)),NOT(ISNUMBER(H18)),C18="",D18="",E18=""),"COMPLETARE DATI E ALIQUOTE",IF(I18&gt;L18,"ALTRI INCENTIVI OLTRE LIMITE",IF(COUNTIFS($C$6:$C$25,C18,$D$6:$D$25,D18)&gt;1,"MATRICOLA DUPLICATA","DATI COMPLETI"))))</f>
        <v/>
      </c>
      <c r="U18" s="11">
        <f t="shared" si="7"/>
        <v>0</v>
      </c>
      <c r="V18">
        <f t="shared" si="8"/>
        <v>0</v>
      </c>
    </row>
    <row r="19" spans="1:22" ht="24" customHeight="1">
      <c r="A19" s="2" t="s">
        <v>175</v>
      </c>
      <c r="B19" s="5"/>
      <c r="C19" s="5"/>
      <c r="D19" s="5"/>
      <c r="E19" s="5"/>
      <c r="F19" s="8"/>
      <c r="G19" s="8"/>
      <c r="H19" s="7"/>
      <c r="I19" s="7">
        <v>0</v>
      </c>
      <c r="J19" s="7">
        <v>0</v>
      </c>
      <c r="K19" s="11">
        <f>IF(B19="",0,SUMIFS(Riparto!$W$6:$W$105,Riparto!$B$6:$B$105,A19))</f>
        <v>0</v>
      </c>
      <c r="L19" s="11">
        <f>IF(ISNUMBER(H19),H19*IF(Procedura!$B$31="Si",1.15,1),0)</f>
        <v>0</v>
      </c>
      <c r="M19" s="11">
        <f t="shared" si="0"/>
        <v>0</v>
      </c>
      <c r="N19" s="11">
        <f t="shared" si="1"/>
        <v>0</v>
      </c>
      <c r="O19" s="11">
        <f t="shared" si="2"/>
        <v>0</v>
      </c>
      <c r="P19" s="11">
        <f t="shared" si="3"/>
        <v>0</v>
      </c>
      <c r="Q19" s="11">
        <f t="shared" si="4"/>
        <v>0</v>
      </c>
      <c r="R19" s="11">
        <f t="shared" si="5"/>
        <v>0</v>
      </c>
      <c r="S19" s="11">
        <f t="shared" si="6"/>
        <v>0</v>
      </c>
      <c r="T19" s="2" t="str">
        <f>IF(B19="",IF(COUNTIFS(Riparto!$B$6:$B$105,A19)&gt;0,"MANCA NOMINATIVO",""),IF(OR(NOT(ISNUMBER(F19)),NOT(ISNUMBER(G19)),NOT(ISNUMBER(H19)),C19="",D19="",E19=""),"COMPLETARE DATI E ALIQUOTE",IF(I19&gt;L19,"ALTRI INCENTIVI OLTRE LIMITE",IF(COUNTIFS($C$6:$C$25,C19,$D$6:$D$25,D19)&gt;1,"MATRICOLA DUPLICATA","DATI COMPLETI"))))</f>
        <v/>
      </c>
      <c r="U19" s="11">
        <f t="shared" si="7"/>
        <v>0</v>
      </c>
      <c r="V19">
        <f t="shared" si="8"/>
        <v>0</v>
      </c>
    </row>
    <row r="20" spans="1:22" ht="24" customHeight="1">
      <c r="A20" s="2" t="s">
        <v>176</v>
      </c>
      <c r="B20" s="5"/>
      <c r="C20" s="5"/>
      <c r="D20" s="5"/>
      <c r="E20" s="5"/>
      <c r="F20" s="8"/>
      <c r="G20" s="8"/>
      <c r="H20" s="7"/>
      <c r="I20" s="7">
        <v>0</v>
      </c>
      <c r="J20" s="7">
        <v>0</v>
      </c>
      <c r="K20" s="11">
        <f>IF(B20="",0,SUMIFS(Riparto!$W$6:$W$105,Riparto!$B$6:$B$105,A20))</f>
        <v>0</v>
      </c>
      <c r="L20" s="11">
        <f>IF(ISNUMBER(H20),H20*IF(Procedura!$B$31="Si",1.15,1),0)</f>
        <v>0</v>
      </c>
      <c r="M20" s="11">
        <f t="shared" si="0"/>
        <v>0</v>
      </c>
      <c r="N20" s="11">
        <f t="shared" si="1"/>
        <v>0</v>
      </c>
      <c r="O20" s="11">
        <f t="shared" si="2"/>
        <v>0</v>
      </c>
      <c r="P20" s="11">
        <f t="shared" si="3"/>
        <v>0</v>
      </c>
      <c r="Q20" s="11">
        <f t="shared" si="4"/>
        <v>0</v>
      </c>
      <c r="R20" s="11">
        <f t="shared" si="5"/>
        <v>0</v>
      </c>
      <c r="S20" s="11">
        <f t="shared" si="6"/>
        <v>0</v>
      </c>
      <c r="T20" s="2" t="str">
        <f>IF(B20="",IF(COUNTIFS(Riparto!$B$6:$B$105,A20)&gt;0,"MANCA NOMINATIVO",""),IF(OR(NOT(ISNUMBER(F20)),NOT(ISNUMBER(G20)),NOT(ISNUMBER(H20)),C20="",D20="",E20=""),"COMPLETARE DATI E ALIQUOTE",IF(I20&gt;L20,"ALTRI INCENTIVI OLTRE LIMITE",IF(COUNTIFS($C$6:$C$25,C20,$D$6:$D$25,D20)&gt;1,"MATRICOLA DUPLICATA","DATI COMPLETI"))))</f>
        <v/>
      </c>
      <c r="U20" s="11">
        <f t="shared" si="7"/>
        <v>0</v>
      </c>
      <c r="V20">
        <f t="shared" si="8"/>
        <v>0</v>
      </c>
    </row>
    <row r="21" spans="1:22" ht="24" customHeight="1">
      <c r="A21" s="2" t="s">
        <v>177</v>
      </c>
      <c r="B21" s="5"/>
      <c r="C21" s="5"/>
      <c r="D21" s="5"/>
      <c r="E21" s="5"/>
      <c r="F21" s="8"/>
      <c r="G21" s="8"/>
      <c r="H21" s="7"/>
      <c r="I21" s="7">
        <v>0</v>
      </c>
      <c r="J21" s="7">
        <v>0</v>
      </c>
      <c r="K21" s="11">
        <f>IF(B21="",0,SUMIFS(Riparto!$W$6:$W$105,Riparto!$B$6:$B$105,A21))</f>
        <v>0</v>
      </c>
      <c r="L21" s="11">
        <f>IF(ISNUMBER(H21),H21*IF(Procedura!$B$31="Si",1.15,1),0)</f>
        <v>0</v>
      </c>
      <c r="M21" s="11">
        <f t="shared" si="0"/>
        <v>0</v>
      </c>
      <c r="N21" s="11">
        <f t="shared" si="1"/>
        <v>0</v>
      </c>
      <c r="O21" s="11">
        <f t="shared" si="2"/>
        <v>0</v>
      </c>
      <c r="P21" s="11">
        <f t="shared" si="3"/>
        <v>0</v>
      </c>
      <c r="Q21" s="11">
        <f t="shared" si="4"/>
        <v>0</v>
      </c>
      <c r="R21" s="11">
        <f t="shared" si="5"/>
        <v>0</v>
      </c>
      <c r="S21" s="11">
        <f t="shared" si="6"/>
        <v>0</v>
      </c>
      <c r="T21" s="2" t="str">
        <f>IF(B21="",IF(COUNTIFS(Riparto!$B$6:$B$105,A21)&gt;0,"MANCA NOMINATIVO",""),IF(OR(NOT(ISNUMBER(F21)),NOT(ISNUMBER(G21)),NOT(ISNUMBER(H21)),C21="",D21="",E21=""),"COMPLETARE DATI E ALIQUOTE",IF(I21&gt;L21,"ALTRI INCENTIVI OLTRE LIMITE",IF(COUNTIFS($C$6:$C$25,C21,$D$6:$D$25,D21)&gt;1,"MATRICOLA DUPLICATA","DATI COMPLETI"))))</f>
        <v/>
      </c>
      <c r="U21" s="11">
        <f t="shared" si="7"/>
        <v>0</v>
      </c>
      <c r="V21">
        <f t="shared" si="8"/>
        <v>0</v>
      </c>
    </row>
    <row r="22" spans="1:22" ht="24" customHeight="1">
      <c r="A22" s="2" t="s">
        <v>178</v>
      </c>
      <c r="B22" s="5"/>
      <c r="C22" s="5"/>
      <c r="D22" s="5"/>
      <c r="E22" s="5"/>
      <c r="F22" s="8"/>
      <c r="G22" s="8"/>
      <c r="H22" s="7"/>
      <c r="I22" s="7">
        <v>0</v>
      </c>
      <c r="J22" s="7">
        <v>0</v>
      </c>
      <c r="K22" s="11">
        <f>IF(B22="",0,SUMIFS(Riparto!$W$6:$W$105,Riparto!$B$6:$B$105,A22))</f>
        <v>0</v>
      </c>
      <c r="L22" s="11">
        <f>IF(ISNUMBER(H22),H22*IF(Procedura!$B$31="Si",1.15,1),0)</f>
        <v>0</v>
      </c>
      <c r="M22" s="11">
        <f t="shared" si="0"/>
        <v>0</v>
      </c>
      <c r="N22" s="11">
        <f t="shared" si="1"/>
        <v>0</v>
      </c>
      <c r="O22" s="11">
        <f t="shared" si="2"/>
        <v>0</v>
      </c>
      <c r="P22" s="11">
        <f t="shared" si="3"/>
        <v>0</v>
      </c>
      <c r="Q22" s="11">
        <f t="shared" si="4"/>
        <v>0</v>
      </c>
      <c r="R22" s="11">
        <f t="shared" si="5"/>
        <v>0</v>
      </c>
      <c r="S22" s="11">
        <f t="shared" si="6"/>
        <v>0</v>
      </c>
      <c r="T22" s="2" t="str">
        <f>IF(B22="",IF(COUNTIFS(Riparto!$B$6:$B$105,A22)&gt;0,"MANCA NOMINATIVO",""),IF(OR(NOT(ISNUMBER(F22)),NOT(ISNUMBER(G22)),NOT(ISNUMBER(H22)),C22="",D22="",E22=""),"COMPLETARE DATI E ALIQUOTE",IF(I22&gt;L22,"ALTRI INCENTIVI OLTRE LIMITE",IF(COUNTIFS($C$6:$C$25,C22,$D$6:$D$25,D22)&gt;1,"MATRICOLA DUPLICATA","DATI COMPLETI"))))</f>
        <v/>
      </c>
      <c r="U22" s="11">
        <f t="shared" si="7"/>
        <v>0</v>
      </c>
      <c r="V22">
        <f t="shared" si="8"/>
        <v>0</v>
      </c>
    </row>
    <row r="23" spans="1:22" ht="24" customHeight="1">
      <c r="A23" s="2" t="s">
        <v>179</v>
      </c>
      <c r="B23" s="5"/>
      <c r="C23" s="5"/>
      <c r="D23" s="5"/>
      <c r="E23" s="5"/>
      <c r="F23" s="8"/>
      <c r="G23" s="8"/>
      <c r="H23" s="7"/>
      <c r="I23" s="7">
        <v>0</v>
      </c>
      <c r="J23" s="7">
        <v>0</v>
      </c>
      <c r="K23" s="11">
        <f>IF(B23="",0,SUMIFS(Riparto!$W$6:$W$105,Riparto!$B$6:$B$105,A23))</f>
        <v>0</v>
      </c>
      <c r="L23" s="11">
        <f>IF(ISNUMBER(H23),H23*IF(Procedura!$B$31="Si",1.15,1),0)</f>
        <v>0</v>
      </c>
      <c r="M23" s="11">
        <f t="shared" si="0"/>
        <v>0</v>
      </c>
      <c r="N23" s="11">
        <f t="shared" si="1"/>
        <v>0</v>
      </c>
      <c r="O23" s="11">
        <f t="shared" si="2"/>
        <v>0</v>
      </c>
      <c r="P23" s="11">
        <f t="shared" si="3"/>
        <v>0</v>
      </c>
      <c r="Q23" s="11">
        <f t="shared" si="4"/>
        <v>0</v>
      </c>
      <c r="R23" s="11">
        <f t="shared" si="5"/>
        <v>0</v>
      </c>
      <c r="S23" s="11">
        <f t="shared" si="6"/>
        <v>0</v>
      </c>
      <c r="T23" s="2" t="str">
        <f>IF(B23="",IF(COUNTIFS(Riparto!$B$6:$B$105,A23)&gt;0,"MANCA NOMINATIVO",""),IF(OR(NOT(ISNUMBER(F23)),NOT(ISNUMBER(G23)),NOT(ISNUMBER(H23)),C23="",D23="",E23=""),"COMPLETARE DATI E ALIQUOTE",IF(I23&gt;L23,"ALTRI INCENTIVI OLTRE LIMITE",IF(COUNTIFS($C$6:$C$25,C23,$D$6:$D$25,D23)&gt;1,"MATRICOLA DUPLICATA","DATI COMPLETI"))))</f>
        <v/>
      </c>
      <c r="U23" s="11">
        <f t="shared" si="7"/>
        <v>0</v>
      </c>
      <c r="V23">
        <f t="shared" si="8"/>
        <v>0</v>
      </c>
    </row>
    <row r="24" spans="1:22" ht="24" customHeight="1">
      <c r="A24" s="2" t="s">
        <v>180</v>
      </c>
      <c r="B24" s="5"/>
      <c r="C24" s="5"/>
      <c r="D24" s="5"/>
      <c r="E24" s="5"/>
      <c r="F24" s="8"/>
      <c r="G24" s="8"/>
      <c r="H24" s="7"/>
      <c r="I24" s="7">
        <v>0</v>
      </c>
      <c r="J24" s="7">
        <v>0</v>
      </c>
      <c r="K24" s="11">
        <f>IF(B24="",0,SUMIFS(Riparto!$W$6:$W$105,Riparto!$B$6:$B$105,A24))</f>
        <v>0</v>
      </c>
      <c r="L24" s="11">
        <f>IF(ISNUMBER(H24),H24*IF(Procedura!$B$31="Si",1.15,1),0)</f>
        <v>0</v>
      </c>
      <c r="M24" s="11">
        <f t="shared" si="0"/>
        <v>0</v>
      </c>
      <c r="N24" s="11">
        <f t="shared" si="1"/>
        <v>0</v>
      </c>
      <c r="O24" s="11">
        <f t="shared" si="2"/>
        <v>0</v>
      </c>
      <c r="P24" s="11">
        <f t="shared" si="3"/>
        <v>0</v>
      </c>
      <c r="Q24" s="11">
        <f t="shared" si="4"/>
        <v>0</v>
      </c>
      <c r="R24" s="11">
        <f t="shared" si="5"/>
        <v>0</v>
      </c>
      <c r="S24" s="11">
        <f t="shared" si="6"/>
        <v>0</v>
      </c>
      <c r="T24" s="2" t="str">
        <f>IF(B24="",IF(COUNTIFS(Riparto!$B$6:$B$105,A24)&gt;0,"MANCA NOMINATIVO",""),IF(OR(NOT(ISNUMBER(F24)),NOT(ISNUMBER(G24)),NOT(ISNUMBER(H24)),C24="",D24="",E24=""),"COMPLETARE DATI E ALIQUOTE",IF(I24&gt;L24,"ALTRI INCENTIVI OLTRE LIMITE",IF(COUNTIFS($C$6:$C$25,C24,$D$6:$D$25,D24)&gt;1,"MATRICOLA DUPLICATA","DATI COMPLETI"))))</f>
        <v/>
      </c>
      <c r="U24" s="11">
        <f t="shared" si="7"/>
        <v>0</v>
      </c>
      <c r="V24">
        <f t="shared" si="8"/>
        <v>0</v>
      </c>
    </row>
    <row r="25" spans="1:22" ht="24" customHeight="1">
      <c r="A25" s="2" t="s">
        <v>181</v>
      </c>
      <c r="B25" s="5"/>
      <c r="C25" s="5"/>
      <c r="D25" s="5"/>
      <c r="E25" s="5"/>
      <c r="F25" s="8"/>
      <c r="G25" s="8"/>
      <c r="H25" s="7"/>
      <c r="I25" s="7">
        <v>0</v>
      </c>
      <c r="J25" s="7">
        <v>0</v>
      </c>
      <c r="K25" s="11">
        <f>IF(B25="",0,SUMIFS(Riparto!$W$6:$W$105,Riparto!$B$6:$B$105,A25))</f>
        <v>0</v>
      </c>
      <c r="L25" s="11">
        <f>IF(ISNUMBER(H25),H25*IF(Procedura!$B$31="Si",1.15,1),0)</f>
        <v>0</v>
      </c>
      <c r="M25" s="11">
        <f t="shared" si="0"/>
        <v>0</v>
      </c>
      <c r="N25" s="11">
        <f t="shared" si="1"/>
        <v>0</v>
      </c>
      <c r="O25" s="11">
        <f t="shared" si="2"/>
        <v>0</v>
      </c>
      <c r="P25" s="11">
        <f t="shared" si="3"/>
        <v>0</v>
      </c>
      <c r="Q25" s="11">
        <f t="shared" si="4"/>
        <v>0</v>
      </c>
      <c r="R25" s="11">
        <f t="shared" si="5"/>
        <v>0</v>
      </c>
      <c r="S25" s="11">
        <f t="shared" si="6"/>
        <v>0</v>
      </c>
      <c r="T25" s="2" t="str">
        <f>IF(B25="",IF(COUNTIFS(Riparto!$B$6:$B$105,A25)&gt;0,"MANCA NOMINATIVO",""),IF(OR(NOT(ISNUMBER(F25)),NOT(ISNUMBER(G25)),NOT(ISNUMBER(H25)),C25="",D25="",E25=""),"COMPLETARE DATI E ALIQUOTE",IF(I25&gt;L25,"ALTRI INCENTIVI OLTRE LIMITE",IF(COUNTIFS($C$6:$C$25,C25,$D$6:$D$25,D25)&gt;1,"MATRICOLA DUPLICATA","DATI COMPLETI"))))</f>
        <v/>
      </c>
      <c r="U25" s="11">
        <f t="shared" si="7"/>
        <v>0</v>
      </c>
      <c r="V25">
        <f t="shared" si="8"/>
        <v>0</v>
      </c>
    </row>
    <row r="26" spans="1:22" ht="24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2" ht="24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2" ht="24" customHeight="1">
      <c r="A28" s="2" t="s">
        <v>182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</sheetData>
  <conditionalFormatting sqref="T6:T25">
    <cfRule type="expression" dxfId="3" priority="1">
      <formula>AND(T6&lt;&gt;"",T6&lt;&gt;"DATI COMPLETI")</formula>
    </cfRule>
  </conditionalFormatting>
  <dataValidations count="3">
    <dataValidation type="list" sqref="E6:E25" xr:uid="{00000000-0002-0000-0200-000000000000}">
      <formula1>"Dipendente,EQ,Dirigente,Segretario"</formula1>
    </dataValidation>
    <dataValidation type="decimal" sqref="F6:G25" xr:uid="{00000000-0002-0000-0200-000001000000}">
      <formula1>0</formula1>
      <formula2>1</formula2>
    </dataValidation>
    <dataValidation type="decimal" sqref="H6:J25" xr:uid="{00000000-0002-0000-0200-000002000000}">
      <formula1>0</formula1>
      <formula2>10000000000</formula2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30"/>
  <sheetViews>
    <sheetView showGridLines="0" workbookViewId="0">
      <pane xSplit="4" ySplit="5" topLeftCell="E6" activePane="bottomRight" state="frozen"/>
      <selection pane="topRight"/>
      <selection pane="bottomLeft"/>
      <selection pane="bottomRight" activeCell="E6" sqref="E6"/>
    </sheetView>
  </sheetViews>
  <sheetFormatPr defaultRowHeight="14.25"/>
  <cols>
    <col min="1" max="2" width="11" customWidth="1"/>
    <col min="3" max="3" width="20" customWidth="1"/>
    <col min="4" max="4" width="58" customWidth="1"/>
    <col min="5" max="9" width="19" customWidth="1"/>
    <col min="10" max="17" width="22" customWidth="1"/>
    <col min="18" max="18" width="46" customWidth="1"/>
    <col min="19" max="19" width="15" customWidth="1"/>
  </cols>
  <sheetData>
    <row r="1" spans="1:20" ht="24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0" ht="24" customHeight="1">
      <c r="A2" s="3" t="s">
        <v>183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20" ht="24" customHeight="1">
      <c r="A3" s="4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20" ht="24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20" ht="44.1" customHeight="1">
      <c r="A5" s="9" t="s">
        <v>184</v>
      </c>
      <c r="B5" s="9" t="s">
        <v>185</v>
      </c>
      <c r="C5" s="9" t="s">
        <v>186</v>
      </c>
      <c r="D5" s="9" t="s">
        <v>187</v>
      </c>
      <c r="E5" s="9" t="s">
        <v>188</v>
      </c>
      <c r="F5" s="9" t="s">
        <v>189</v>
      </c>
      <c r="G5" s="9" t="s">
        <v>190</v>
      </c>
      <c r="H5" s="9" t="s">
        <v>191</v>
      </c>
      <c r="I5" s="9" t="s">
        <v>192</v>
      </c>
      <c r="J5" s="9" t="s">
        <v>193</v>
      </c>
      <c r="K5" s="9" t="s">
        <v>194</v>
      </c>
      <c r="L5" s="9" t="s">
        <v>195</v>
      </c>
      <c r="M5" s="9" t="s">
        <v>196</v>
      </c>
      <c r="N5" s="9" t="s">
        <v>10</v>
      </c>
      <c r="O5" s="9" t="s">
        <v>197</v>
      </c>
      <c r="P5" s="9" t="s">
        <v>198</v>
      </c>
      <c r="Q5" s="9" t="s">
        <v>199</v>
      </c>
      <c r="R5" s="9" t="s">
        <v>200</v>
      </c>
      <c r="S5" s="9" t="s">
        <v>201</v>
      </c>
      <c r="T5" t="s">
        <v>161</v>
      </c>
    </row>
    <row r="6" spans="1:20" ht="44.1" customHeight="1">
      <c r="A6" s="2" t="s">
        <v>202</v>
      </c>
      <c r="B6" s="2">
        <f>IF(E6=0,"",1)</f>
        <v>1</v>
      </c>
      <c r="C6" s="2" t="str">
        <f>IF(Procedura!$B$10="Lavori",Guida!B31,Guida!E31)</f>
        <v>Programmazione</v>
      </c>
      <c r="D6" s="6" t="str">
        <f>IF(Procedura!$B$10="Lavori",Guida!C31,Guida!F31)</f>
        <v>Programmazione della spesa per investimenti</v>
      </c>
      <c r="E6" s="14">
        <f>IF(Procedura!$B$10="Lavori",Guida!D31,Guida!G31)</f>
        <v>0.05</v>
      </c>
      <c r="F6" s="5" t="s">
        <v>203</v>
      </c>
      <c r="G6" s="8">
        <v>0</v>
      </c>
      <c r="H6" s="8">
        <v>0</v>
      </c>
      <c r="I6" s="8">
        <v>0</v>
      </c>
      <c r="J6" s="11">
        <f>Procedura!$B$55*E6</f>
        <v>0</v>
      </c>
      <c r="K6" s="11">
        <f>IF(Procedura!$B$32="Si",J6*G6,0)</f>
        <v>0</v>
      </c>
      <c r="L6" s="11">
        <f>IF(OR(AND(Procedura!$B$10="Lavori",B6=12),AND(Procedura!$B$10&lt;&gt;"Lavori",B6=4)),MIN(Procedura!$B$60,K6),IF(SUM($K$6:$K$24)-IF(Procedura!$B$10="Lavori",$K$17,$K$9)&gt;0,MAX(0,Procedura!$B$60-IF(Procedura!$B$10="Lavori",$K$17,$K$9))*K6/(SUM($K$6:$K$24)-IF(Procedura!$B$10="Lavori",$K$17,$K$9)),0))</f>
        <v>0</v>
      </c>
      <c r="M6" s="11">
        <f t="shared" ref="M6:M24" si="0">J6-L6</f>
        <v>0</v>
      </c>
      <c r="N6" s="11">
        <f t="shared" ref="N6:N24" si="1">M6*H6</f>
        <v>0</v>
      </c>
      <c r="O6" s="11">
        <f t="shared" ref="O6:O24" si="2">IF(F6="Interna",M6*I6,0)</f>
        <v>0</v>
      </c>
      <c r="P6" s="11">
        <f t="shared" ref="P6:P24" si="3">IF(OR(F6="Interna",F6="Da definire"),M6*MAX(0,1-H6-IF(F6="Interna",I6,0)),0)</f>
        <v>0</v>
      </c>
      <c r="Q6" s="11">
        <f t="shared" ref="Q6:Q24" si="4">IF(OR(F6="Esterna",F6="Non prevista",F6="Non attribuita",F6="Priva attestazione"),M6*(1-H6),0)</f>
        <v>0</v>
      </c>
      <c r="R6" s="2" t="str">
        <f>IF(AND(Procedura!$B$10="Lavori",B6=9,F6="Interna",Procedura!$B$31&lt;&gt;"Si"),"FLUSSI INFORMATIVI SENZA BIM",IF(AND(Procedura!$B$10&lt;&gt;"Lavori",B6=1,F6="Interna",Procedura!$B$41&lt;&gt;"Si"),"PROGRAMMAZIONE SOLO CONTO CAPITALE",IF(E6=0,IF(COUNTIFS(Riparto!$A$6:$A$105,A6)&gt;0,"VOCE NON PRESENTE IN TABELLA",""),IF(H6+I6&gt;1.000001,"MATURAZIONE OLTRE 100%",IF(AND(G6&gt;0,NOT(IF(Procedura!$B$10="Lavori",AND(B6&gt;=10,B6&lt;=12),AND(B6&gt;=2,B6&lt;=4)))),"CUC SU FASE NON AFFIDAMENTO",IF(AND(Procedura!$B$10&lt;&gt;"Lavori",B6=2,G6&gt;Procedura!$B$39),"CUC OLTRE FRAZIONE AFFIDAMENTO",IF(F6="Da definire","DEFINIRE DESTINAZIONE",IF(AND(F6&lt;&gt;"Interna",OR(I6&gt;0,S6&gt;0)),"ASSEGNATARI SU VOCE NON INTERNA",IF(AND(F6="Interna",M6&gt;0,ABS(S6-1)&gt;0.000001),"RIPARTO INTERNO NON PARI A 100%","COERENTE")))))))))</f>
        <v>DEFINIRE DESTINAZIONE</v>
      </c>
      <c r="S6" s="10">
        <f>SUMIFS(Riparto!$E$6:$E$105,Riparto!$A$6:$A$105,A6)</f>
        <v>0</v>
      </c>
      <c r="T6">
        <f t="shared" ref="T6:T24" si="5">IF(OR(R6="",R6="COERENTE"),0,1)</f>
        <v>1</v>
      </c>
    </row>
    <row r="7" spans="1:20" ht="44.1" customHeight="1">
      <c r="A7" s="2" t="s">
        <v>204</v>
      </c>
      <c r="B7" s="2">
        <f>IF(E7=0,"",2)</f>
        <v>2</v>
      </c>
      <c r="C7" s="2" t="str">
        <f>IF(Procedura!$B$10="Lavori",Guida!B32,Guida!E32)</f>
        <v>Programmazione</v>
      </c>
      <c r="D7" s="6" t="str">
        <f>IF(Procedura!$B$10="Lavori",Guida!C32,Guida!F32)</f>
        <v>DocFAP</v>
      </c>
      <c r="E7" s="14">
        <f>IF(Procedura!$B$10="Lavori",Guida!D32,Guida!G32)</f>
        <v>0.03</v>
      </c>
      <c r="F7" s="5" t="s">
        <v>203</v>
      </c>
      <c r="G7" s="8">
        <v>0</v>
      </c>
      <c r="H7" s="8">
        <v>0</v>
      </c>
      <c r="I7" s="8">
        <v>0</v>
      </c>
      <c r="J7" s="11">
        <f>Procedura!$B$55*E7</f>
        <v>0</v>
      </c>
      <c r="K7" s="11">
        <f>IF(Procedura!$B$32="Si",J7*G7,0)</f>
        <v>0</v>
      </c>
      <c r="L7" s="11">
        <f>IF(OR(AND(Procedura!$B$10="Lavori",B7=12),AND(Procedura!$B$10&lt;&gt;"Lavori",B7=4)),MIN(Procedura!$B$60,K7),IF(SUM($K$6:$K$24)-IF(Procedura!$B$10="Lavori",$K$17,$K$9)&gt;0,MAX(0,Procedura!$B$60-IF(Procedura!$B$10="Lavori",$K$17,$K$9))*K7/(SUM($K$6:$K$24)-IF(Procedura!$B$10="Lavori",$K$17,$K$9)),0))</f>
        <v>0</v>
      </c>
      <c r="M7" s="11">
        <f t="shared" si="0"/>
        <v>0</v>
      </c>
      <c r="N7" s="11">
        <f t="shared" si="1"/>
        <v>0</v>
      </c>
      <c r="O7" s="11">
        <f t="shared" si="2"/>
        <v>0</v>
      </c>
      <c r="P7" s="11">
        <f t="shared" si="3"/>
        <v>0</v>
      </c>
      <c r="Q7" s="11">
        <f t="shared" si="4"/>
        <v>0</v>
      </c>
      <c r="R7" s="2" t="str">
        <f>IF(AND(Procedura!$B$10="Lavori",B7=9,F7="Interna",Procedura!$B$31&lt;&gt;"Si"),"FLUSSI INFORMATIVI SENZA BIM",IF(AND(Procedura!$B$10&lt;&gt;"Lavori",B7=1,F7="Interna",Procedura!$B$41&lt;&gt;"Si"),"PROGRAMMAZIONE SOLO CONTO CAPITALE",IF(E7=0,IF(COUNTIFS(Riparto!$A$6:$A$105,A7)&gt;0,"VOCE NON PRESENTE IN TABELLA",""),IF(H7+I7&gt;1.000001,"MATURAZIONE OLTRE 100%",IF(AND(G7&gt;0,NOT(IF(Procedura!$B$10="Lavori",AND(B7&gt;=10,B7&lt;=12),AND(B7&gt;=2,B7&lt;=4)))),"CUC SU FASE NON AFFIDAMENTO",IF(AND(Procedura!$B$10&lt;&gt;"Lavori",B7=2,G7&gt;Procedura!$B$39),"CUC OLTRE FRAZIONE AFFIDAMENTO",IF(F7="Da definire","DEFINIRE DESTINAZIONE",IF(AND(F7&lt;&gt;"Interna",OR(I7&gt;0,S7&gt;0)),"ASSEGNATARI SU VOCE NON INTERNA",IF(AND(F7="Interna",M7&gt;0,ABS(S7-1)&gt;0.000001),"RIPARTO INTERNO NON PARI A 100%","COERENTE")))))))))</f>
        <v>DEFINIRE DESTINAZIONE</v>
      </c>
      <c r="S7" s="10">
        <f>SUMIFS(Riparto!$E$6:$E$105,Riparto!$A$6:$A$105,A7)</f>
        <v>0</v>
      </c>
      <c r="T7">
        <f t="shared" si="5"/>
        <v>1</v>
      </c>
    </row>
    <row r="8" spans="1:20" ht="44.1" customHeight="1">
      <c r="A8" s="2" t="s">
        <v>205</v>
      </c>
      <c r="B8" s="2">
        <f>IF(E8=0,"",3)</f>
        <v>3</v>
      </c>
      <c r="C8" s="2" t="str">
        <f>IF(Procedura!$B$10="Lavori",Guida!B33,Guida!E33)</f>
        <v>Progettazione</v>
      </c>
      <c r="D8" s="6" t="str">
        <f>IF(Procedura!$B$10="Lavori",Guida!C33,Guida!F33)</f>
        <v>RUP progettazione</v>
      </c>
      <c r="E8" s="14">
        <f>IF(Procedura!$B$10="Lavori",Guida!D33,Guida!G33)</f>
        <v>0.09</v>
      </c>
      <c r="F8" s="5" t="s">
        <v>203</v>
      </c>
      <c r="G8" s="8">
        <v>0</v>
      </c>
      <c r="H8" s="8">
        <v>0</v>
      </c>
      <c r="I8" s="8">
        <v>0</v>
      </c>
      <c r="J8" s="11">
        <f>Procedura!$B$55*E8</f>
        <v>0</v>
      </c>
      <c r="K8" s="11">
        <f>IF(Procedura!$B$32="Si",J8*G8,0)</f>
        <v>0</v>
      </c>
      <c r="L8" s="11">
        <f>IF(OR(AND(Procedura!$B$10="Lavori",B8=12),AND(Procedura!$B$10&lt;&gt;"Lavori",B8=4)),MIN(Procedura!$B$60,K8),IF(SUM($K$6:$K$24)-IF(Procedura!$B$10="Lavori",$K$17,$K$9)&gt;0,MAX(0,Procedura!$B$60-IF(Procedura!$B$10="Lavori",$K$17,$K$9))*K8/(SUM($K$6:$K$24)-IF(Procedura!$B$10="Lavori",$K$17,$K$9)),0))</f>
        <v>0</v>
      </c>
      <c r="M8" s="11">
        <f t="shared" si="0"/>
        <v>0</v>
      </c>
      <c r="N8" s="11">
        <f t="shared" si="1"/>
        <v>0</v>
      </c>
      <c r="O8" s="11">
        <f t="shared" si="2"/>
        <v>0</v>
      </c>
      <c r="P8" s="11">
        <f t="shared" si="3"/>
        <v>0</v>
      </c>
      <c r="Q8" s="11">
        <f t="shared" si="4"/>
        <v>0</v>
      </c>
      <c r="R8" s="2" t="str">
        <f>IF(AND(Procedura!$B$10="Lavori",B8=9,F8="Interna",Procedura!$B$31&lt;&gt;"Si"),"FLUSSI INFORMATIVI SENZA BIM",IF(AND(Procedura!$B$10&lt;&gt;"Lavori",B8=1,F8="Interna",Procedura!$B$41&lt;&gt;"Si"),"PROGRAMMAZIONE SOLO CONTO CAPITALE",IF(E8=0,IF(COUNTIFS(Riparto!$A$6:$A$105,A8)&gt;0,"VOCE NON PRESENTE IN TABELLA",""),IF(H8+I8&gt;1.000001,"MATURAZIONE OLTRE 100%",IF(AND(G8&gt;0,NOT(IF(Procedura!$B$10="Lavori",AND(B8&gt;=10,B8&lt;=12),AND(B8&gt;=2,B8&lt;=4)))),"CUC SU FASE NON AFFIDAMENTO",IF(AND(Procedura!$B$10&lt;&gt;"Lavori",B8=2,G8&gt;Procedura!$B$39),"CUC OLTRE FRAZIONE AFFIDAMENTO",IF(F8="Da definire","DEFINIRE DESTINAZIONE",IF(AND(F8&lt;&gt;"Interna",OR(I8&gt;0,S8&gt;0)),"ASSEGNATARI SU VOCE NON INTERNA",IF(AND(F8="Interna",M8&gt;0,ABS(S8-1)&gt;0.000001),"RIPARTO INTERNO NON PARI A 100%","COERENTE")))))))))</f>
        <v>DEFINIRE DESTINAZIONE</v>
      </c>
      <c r="S8" s="10">
        <f>SUMIFS(Riparto!$E$6:$E$105,Riparto!$A$6:$A$105,A8)</f>
        <v>0</v>
      </c>
      <c r="T8">
        <f t="shared" si="5"/>
        <v>1</v>
      </c>
    </row>
    <row r="9" spans="1:20" ht="44.1" customHeight="1">
      <c r="A9" s="2" t="s">
        <v>206</v>
      </c>
      <c r="B9" s="2">
        <f>IF(E9=0,"",4)</f>
        <v>4</v>
      </c>
      <c r="C9" s="2" t="str">
        <f>IF(Procedura!$B$10="Lavori",Guida!B34,Guida!E34)</f>
        <v>Progettazione</v>
      </c>
      <c r="D9" s="6" t="str">
        <f>IF(Procedura!$B$10="Lavori",Guida!C34,Guida!F34)</f>
        <v>Collaborazione RUP progettazione</v>
      </c>
      <c r="E9" s="14">
        <f>IF(Procedura!$B$10="Lavori",Guida!D34,Guida!G34)</f>
        <v>0.03</v>
      </c>
      <c r="F9" s="5" t="s">
        <v>203</v>
      </c>
      <c r="G9" s="8">
        <v>0</v>
      </c>
      <c r="H9" s="8">
        <v>0</v>
      </c>
      <c r="I9" s="8">
        <v>0</v>
      </c>
      <c r="J9" s="11">
        <f>Procedura!$B$55*E9</f>
        <v>0</v>
      </c>
      <c r="K9" s="11">
        <f>IF(Procedura!$B$32="Si",J9*G9,0)</f>
        <v>0</v>
      </c>
      <c r="L9" s="11">
        <f>IF(OR(AND(Procedura!$B$10="Lavori",B9=12),AND(Procedura!$B$10&lt;&gt;"Lavori",B9=4)),MIN(Procedura!$B$60,K9),IF(SUM($K$6:$K$24)-IF(Procedura!$B$10="Lavori",$K$17,$K$9)&gt;0,MAX(0,Procedura!$B$60-IF(Procedura!$B$10="Lavori",$K$17,$K$9))*K9/(SUM($K$6:$K$24)-IF(Procedura!$B$10="Lavori",$K$17,$K$9)),0))</f>
        <v>0</v>
      </c>
      <c r="M9" s="11">
        <f t="shared" si="0"/>
        <v>0</v>
      </c>
      <c r="N9" s="11">
        <f t="shared" si="1"/>
        <v>0</v>
      </c>
      <c r="O9" s="11">
        <f t="shared" si="2"/>
        <v>0</v>
      </c>
      <c r="P9" s="11">
        <f t="shared" si="3"/>
        <v>0</v>
      </c>
      <c r="Q9" s="11">
        <f t="shared" si="4"/>
        <v>0</v>
      </c>
      <c r="R9" s="2" t="str">
        <f>IF(AND(Procedura!$B$10="Lavori",B9=9,F9="Interna",Procedura!$B$31&lt;&gt;"Si"),"FLUSSI INFORMATIVI SENZA BIM",IF(AND(Procedura!$B$10&lt;&gt;"Lavori",B9=1,F9="Interna",Procedura!$B$41&lt;&gt;"Si"),"PROGRAMMAZIONE SOLO CONTO CAPITALE",IF(E9=0,IF(COUNTIFS(Riparto!$A$6:$A$105,A9)&gt;0,"VOCE NON PRESENTE IN TABELLA",""),IF(H9+I9&gt;1.000001,"MATURAZIONE OLTRE 100%",IF(AND(G9&gt;0,NOT(IF(Procedura!$B$10="Lavori",AND(B9&gt;=10,B9&lt;=12),AND(B9&gt;=2,B9&lt;=4)))),"CUC SU FASE NON AFFIDAMENTO",IF(AND(Procedura!$B$10&lt;&gt;"Lavori",B9=2,G9&gt;Procedura!$B$39),"CUC OLTRE FRAZIONE AFFIDAMENTO",IF(F9="Da definire","DEFINIRE DESTINAZIONE",IF(AND(F9&lt;&gt;"Interna",OR(I9&gt;0,S9&gt;0)),"ASSEGNATARI SU VOCE NON INTERNA",IF(AND(F9="Interna",M9&gt;0,ABS(S9-1)&gt;0.000001),"RIPARTO INTERNO NON PARI A 100%","COERENTE")))))))))</f>
        <v>DEFINIRE DESTINAZIONE</v>
      </c>
      <c r="S9" s="10">
        <f>SUMIFS(Riparto!$E$6:$E$105,Riparto!$A$6:$A$105,A9)</f>
        <v>0</v>
      </c>
      <c r="T9">
        <f t="shared" si="5"/>
        <v>1</v>
      </c>
    </row>
    <row r="10" spans="1:20" ht="44.1" customHeight="1">
      <c r="A10" s="2" t="s">
        <v>207</v>
      </c>
      <c r="B10" s="2">
        <f>IF(E10=0,"",5)</f>
        <v>5</v>
      </c>
      <c r="C10" s="2" t="str">
        <f>IF(Procedura!$B$10="Lavori",Guida!B35,Guida!E35)</f>
        <v>Progettazione</v>
      </c>
      <c r="D10" s="6" t="str">
        <f>IF(Procedura!$B$10="Lavori",Guida!C35,Guida!F35)</f>
        <v>PFTE</v>
      </c>
      <c r="E10" s="14">
        <f>IF(Procedura!$B$10="Lavori",Guida!D35,Guida!G35)</f>
        <v>7.0000000000000007E-2</v>
      </c>
      <c r="F10" s="5" t="s">
        <v>203</v>
      </c>
      <c r="G10" s="8">
        <v>0</v>
      </c>
      <c r="H10" s="8">
        <v>0</v>
      </c>
      <c r="I10" s="8">
        <v>0</v>
      </c>
      <c r="J10" s="11">
        <f>Procedura!$B$55*E10</f>
        <v>0</v>
      </c>
      <c r="K10" s="11">
        <f>IF(Procedura!$B$32="Si",J10*G10,0)</f>
        <v>0</v>
      </c>
      <c r="L10" s="11">
        <f>IF(OR(AND(Procedura!$B$10="Lavori",B10=12),AND(Procedura!$B$10&lt;&gt;"Lavori",B10=4)),MIN(Procedura!$B$60,K10),IF(SUM($K$6:$K$24)-IF(Procedura!$B$10="Lavori",$K$17,$K$9)&gt;0,MAX(0,Procedura!$B$60-IF(Procedura!$B$10="Lavori",$K$17,$K$9))*K10/(SUM($K$6:$K$24)-IF(Procedura!$B$10="Lavori",$K$17,$K$9)),0))</f>
        <v>0</v>
      </c>
      <c r="M10" s="11">
        <f t="shared" si="0"/>
        <v>0</v>
      </c>
      <c r="N10" s="11">
        <f t="shared" si="1"/>
        <v>0</v>
      </c>
      <c r="O10" s="11">
        <f t="shared" si="2"/>
        <v>0</v>
      </c>
      <c r="P10" s="11">
        <f t="shared" si="3"/>
        <v>0</v>
      </c>
      <c r="Q10" s="11">
        <f t="shared" si="4"/>
        <v>0</v>
      </c>
      <c r="R10" s="2" t="str">
        <f>IF(AND(Procedura!$B$10="Lavori",B10=9,F10="Interna",Procedura!$B$31&lt;&gt;"Si"),"FLUSSI INFORMATIVI SENZA BIM",IF(AND(Procedura!$B$10&lt;&gt;"Lavori",B10=1,F10="Interna",Procedura!$B$41&lt;&gt;"Si"),"PROGRAMMAZIONE SOLO CONTO CAPITALE",IF(E10=0,IF(COUNTIFS(Riparto!$A$6:$A$105,A10)&gt;0,"VOCE NON PRESENTE IN TABELLA",""),IF(H10+I10&gt;1.000001,"MATURAZIONE OLTRE 100%",IF(AND(G10&gt;0,NOT(IF(Procedura!$B$10="Lavori",AND(B10&gt;=10,B10&lt;=12),AND(B10&gt;=2,B10&lt;=4)))),"CUC SU FASE NON AFFIDAMENTO",IF(AND(Procedura!$B$10&lt;&gt;"Lavori",B10=2,G10&gt;Procedura!$B$39),"CUC OLTRE FRAZIONE AFFIDAMENTO",IF(F10="Da definire","DEFINIRE DESTINAZIONE",IF(AND(F10&lt;&gt;"Interna",OR(I10&gt;0,S10&gt;0)),"ASSEGNATARI SU VOCE NON INTERNA",IF(AND(F10="Interna",M10&gt;0,ABS(S10-1)&gt;0.000001),"RIPARTO INTERNO NON PARI A 100%","COERENTE")))))))))</f>
        <v>DEFINIRE DESTINAZIONE</v>
      </c>
      <c r="S10" s="10">
        <f>SUMIFS(Riparto!$E$6:$E$105,Riparto!$A$6:$A$105,A10)</f>
        <v>0</v>
      </c>
      <c r="T10">
        <f t="shared" si="5"/>
        <v>1</v>
      </c>
    </row>
    <row r="11" spans="1:20" ht="44.1" customHeight="1">
      <c r="A11" s="2" t="s">
        <v>208</v>
      </c>
      <c r="B11" s="2">
        <f>IF(E11=0,"",6)</f>
        <v>6</v>
      </c>
      <c r="C11" s="2" t="str">
        <f>IF(Procedura!$B$10="Lavori",Guida!B36,Guida!E36)</f>
        <v>Progettazione</v>
      </c>
      <c r="D11" s="6" t="str">
        <f>IF(Procedura!$B$10="Lavori",Guida!C36,Guida!F36)</f>
        <v>Progetto esecutivo</v>
      </c>
      <c r="E11" s="14">
        <f>IF(Procedura!$B$10="Lavori",Guida!D36,Guida!G36)</f>
        <v>7.0000000000000007E-2</v>
      </c>
      <c r="F11" s="5" t="s">
        <v>203</v>
      </c>
      <c r="G11" s="8">
        <v>0</v>
      </c>
      <c r="H11" s="8">
        <v>0</v>
      </c>
      <c r="I11" s="8">
        <v>0</v>
      </c>
      <c r="J11" s="11">
        <f>Procedura!$B$55*E11</f>
        <v>0</v>
      </c>
      <c r="K11" s="11">
        <f>IF(Procedura!$B$32="Si",J11*G11,0)</f>
        <v>0</v>
      </c>
      <c r="L11" s="11">
        <f>IF(OR(AND(Procedura!$B$10="Lavori",B11=12),AND(Procedura!$B$10&lt;&gt;"Lavori",B11=4)),MIN(Procedura!$B$60,K11),IF(SUM($K$6:$K$24)-IF(Procedura!$B$10="Lavori",$K$17,$K$9)&gt;0,MAX(0,Procedura!$B$60-IF(Procedura!$B$10="Lavori",$K$17,$K$9))*K11/(SUM($K$6:$K$24)-IF(Procedura!$B$10="Lavori",$K$17,$K$9)),0))</f>
        <v>0</v>
      </c>
      <c r="M11" s="11">
        <f t="shared" si="0"/>
        <v>0</v>
      </c>
      <c r="N11" s="11">
        <f t="shared" si="1"/>
        <v>0</v>
      </c>
      <c r="O11" s="11">
        <f t="shared" si="2"/>
        <v>0</v>
      </c>
      <c r="P11" s="11">
        <f t="shared" si="3"/>
        <v>0</v>
      </c>
      <c r="Q11" s="11">
        <f t="shared" si="4"/>
        <v>0</v>
      </c>
      <c r="R11" s="2" t="str">
        <f>IF(AND(Procedura!$B$10="Lavori",B11=9,F11="Interna",Procedura!$B$31&lt;&gt;"Si"),"FLUSSI INFORMATIVI SENZA BIM",IF(AND(Procedura!$B$10&lt;&gt;"Lavori",B11=1,F11="Interna",Procedura!$B$41&lt;&gt;"Si"),"PROGRAMMAZIONE SOLO CONTO CAPITALE",IF(E11=0,IF(COUNTIFS(Riparto!$A$6:$A$105,A11)&gt;0,"VOCE NON PRESENTE IN TABELLA",""),IF(H11+I11&gt;1.000001,"MATURAZIONE OLTRE 100%",IF(AND(G11&gt;0,NOT(IF(Procedura!$B$10="Lavori",AND(B11&gt;=10,B11&lt;=12),AND(B11&gt;=2,B11&lt;=4)))),"CUC SU FASE NON AFFIDAMENTO",IF(AND(Procedura!$B$10&lt;&gt;"Lavori",B11=2,G11&gt;Procedura!$B$39),"CUC OLTRE FRAZIONE AFFIDAMENTO",IF(F11="Da definire","DEFINIRE DESTINAZIONE",IF(AND(F11&lt;&gt;"Interna",OR(I11&gt;0,S11&gt;0)),"ASSEGNATARI SU VOCE NON INTERNA",IF(AND(F11="Interna",M11&gt;0,ABS(S11-1)&gt;0.000001),"RIPARTO INTERNO NON PARI A 100%","COERENTE")))))))))</f>
        <v>DEFINIRE DESTINAZIONE</v>
      </c>
      <c r="S11" s="10">
        <f>SUMIFS(Riparto!$E$6:$E$105,Riparto!$A$6:$A$105,A11)</f>
        <v>0</v>
      </c>
      <c r="T11">
        <f t="shared" si="5"/>
        <v>1</v>
      </c>
    </row>
    <row r="12" spans="1:20" ht="44.1" customHeight="1">
      <c r="A12" s="2" t="s">
        <v>209</v>
      </c>
      <c r="B12" s="2">
        <f>IF(E12=0,"",7)</f>
        <v>7</v>
      </c>
      <c r="C12" s="2" t="str">
        <f>IF(Procedura!$B$10="Lavori",Guida!B37,Guida!E37)</f>
        <v>Progettazione</v>
      </c>
      <c r="D12" s="6" t="str">
        <f>IF(Procedura!$B$10="Lavori",Guida!C37,Guida!F37)</f>
        <v>Sicurezza progettazione</v>
      </c>
      <c r="E12" s="14">
        <f>IF(Procedura!$B$10="Lavori",Guida!D37,Guida!G37)</f>
        <v>0.02</v>
      </c>
      <c r="F12" s="5" t="s">
        <v>203</v>
      </c>
      <c r="G12" s="8">
        <v>0</v>
      </c>
      <c r="H12" s="8">
        <v>0</v>
      </c>
      <c r="I12" s="8">
        <v>0</v>
      </c>
      <c r="J12" s="11">
        <f>Procedura!$B$55*E12</f>
        <v>0</v>
      </c>
      <c r="K12" s="11">
        <f>IF(Procedura!$B$32="Si",J12*G12,0)</f>
        <v>0</v>
      </c>
      <c r="L12" s="11">
        <f>IF(OR(AND(Procedura!$B$10="Lavori",B12=12),AND(Procedura!$B$10&lt;&gt;"Lavori",B12=4)),MIN(Procedura!$B$60,K12),IF(SUM($K$6:$K$24)-IF(Procedura!$B$10="Lavori",$K$17,$K$9)&gt;0,MAX(0,Procedura!$B$60-IF(Procedura!$B$10="Lavori",$K$17,$K$9))*K12/(SUM($K$6:$K$24)-IF(Procedura!$B$10="Lavori",$K$17,$K$9)),0))</f>
        <v>0</v>
      </c>
      <c r="M12" s="11">
        <f t="shared" si="0"/>
        <v>0</v>
      </c>
      <c r="N12" s="11">
        <f t="shared" si="1"/>
        <v>0</v>
      </c>
      <c r="O12" s="11">
        <f t="shared" si="2"/>
        <v>0</v>
      </c>
      <c r="P12" s="11">
        <f t="shared" si="3"/>
        <v>0</v>
      </c>
      <c r="Q12" s="11">
        <f t="shared" si="4"/>
        <v>0</v>
      </c>
      <c r="R12" s="2" t="str">
        <f>IF(AND(Procedura!$B$10="Lavori",B12=9,F12="Interna",Procedura!$B$31&lt;&gt;"Si"),"FLUSSI INFORMATIVI SENZA BIM",IF(AND(Procedura!$B$10&lt;&gt;"Lavori",B12=1,F12="Interna",Procedura!$B$41&lt;&gt;"Si"),"PROGRAMMAZIONE SOLO CONTO CAPITALE",IF(E12=0,IF(COUNTIFS(Riparto!$A$6:$A$105,A12)&gt;0,"VOCE NON PRESENTE IN TABELLA",""),IF(H12+I12&gt;1.000001,"MATURAZIONE OLTRE 100%",IF(AND(G12&gt;0,NOT(IF(Procedura!$B$10="Lavori",AND(B12&gt;=10,B12&lt;=12),AND(B12&gt;=2,B12&lt;=4)))),"CUC SU FASE NON AFFIDAMENTO",IF(AND(Procedura!$B$10&lt;&gt;"Lavori",B12=2,G12&gt;Procedura!$B$39),"CUC OLTRE FRAZIONE AFFIDAMENTO",IF(F12="Da definire","DEFINIRE DESTINAZIONE",IF(AND(F12&lt;&gt;"Interna",OR(I12&gt;0,S12&gt;0)),"ASSEGNATARI SU VOCE NON INTERNA",IF(AND(F12="Interna",M12&gt;0,ABS(S12-1)&gt;0.000001),"RIPARTO INTERNO NON PARI A 100%","COERENTE")))))))))</f>
        <v>DEFINIRE DESTINAZIONE</v>
      </c>
      <c r="S12" s="10">
        <f>SUMIFS(Riparto!$E$6:$E$105,Riparto!$A$6:$A$105,A12)</f>
        <v>0</v>
      </c>
      <c r="T12">
        <f t="shared" si="5"/>
        <v>1</v>
      </c>
    </row>
    <row r="13" spans="1:20" ht="44.1" customHeight="1">
      <c r="A13" s="2" t="s">
        <v>210</v>
      </c>
      <c r="B13" s="2">
        <f>IF(E13=0,"",8)</f>
        <v>8</v>
      </c>
      <c r="C13" s="2" t="str">
        <f>IF(Procedura!$B$10="Lavori",Guida!B38,Guida!E38)</f>
        <v>Progettazione</v>
      </c>
      <c r="D13" s="6" t="str">
        <f>IF(Procedura!$B$10="Lavori",Guida!C38,Guida!F38)</f>
        <v>Verifica della progettazione</v>
      </c>
      <c r="E13" s="14">
        <f>IF(Procedura!$B$10="Lavori",Guida!D38,Guida!G38)</f>
        <v>0.03</v>
      </c>
      <c r="F13" s="5" t="s">
        <v>203</v>
      </c>
      <c r="G13" s="8">
        <v>0</v>
      </c>
      <c r="H13" s="8">
        <v>0</v>
      </c>
      <c r="I13" s="8">
        <v>0</v>
      </c>
      <c r="J13" s="11">
        <f>Procedura!$B$55*E13</f>
        <v>0</v>
      </c>
      <c r="K13" s="11">
        <f>IF(Procedura!$B$32="Si",J13*G13,0)</f>
        <v>0</v>
      </c>
      <c r="L13" s="11">
        <f>IF(OR(AND(Procedura!$B$10="Lavori",B13=12),AND(Procedura!$B$10&lt;&gt;"Lavori",B13=4)),MIN(Procedura!$B$60,K13),IF(SUM($K$6:$K$24)-IF(Procedura!$B$10="Lavori",$K$17,$K$9)&gt;0,MAX(0,Procedura!$B$60-IF(Procedura!$B$10="Lavori",$K$17,$K$9))*K13/(SUM($K$6:$K$24)-IF(Procedura!$B$10="Lavori",$K$17,$K$9)),0))</f>
        <v>0</v>
      </c>
      <c r="M13" s="11">
        <f t="shared" si="0"/>
        <v>0</v>
      </c>
      <c r="N13" s="11">
        <f t="shared" si="1"/>
        <v>0</v>
      </c>
      <c r="O13" s="11">
        <f t="shared" si="2"/>
        <v>0</v>
      </c>
      <c r="P13" s="11">
        <f t="shared" si="3"/>
        <v>0</v>
      </c>
      <c r="Q13" s="11">
        <f t="shared" si="4"/>
        <v>0</v>
      </c>
      <c r="R13" s="2" t="str">
        <f>IF(AND(Procedura!$B$10="Lavori",B13=9,F13="Interna",Procedura!$B$31&lt;&gt;"Si"),"FLUSSI INFORMATIVI SENZA BIM",IF(AND(Procedura!$B$10&lt;&gt;"Lavori",B13=1,F13="Interna",Procedura!$B$41&lt;&gt;"Si"),"PROGRAMMAZIONE SOLO CONTO CAPITALE",IF(E13=0,IF(COUNTIFS(Riparto!$A$6:$A$105,A13)&gt;0,"VOCE NON PRESENTE IN TABELLA",""),IF(H13+I13&gt;1.000001,"MATURAZIONE OLTRE 100%",IF(AND(G13&gt;0,NOT(IF(Procedura!$B$10="Lavori",AND(B13&gt;=10,B13&lt;=12),AND(B13&gt;=2,B13&lt;=4)))),"CUC SU FASE NON AFFIDAMENTO",IF(AND(Procedura!$B$10&lt;&gt;"Lavori",B13=2,G13&gt;Procedura!$B$39),"CUC OLTRE FRAZIONE AFFIDAMENTO",IF(F13="Da definire","DEFINIRE DESTINAZIONE",IF(AND(F13&lt;&gt;"Interna",OR(I13&gt;0,S13&gt;0)),"ASSEGNATARI SU VOCE NON INTERNA",IF(AND(F13="Interna",M13&gt;0,ABS(S13-1)&gt;0.000001),"RIPARTO INTERNO NON PARI A 100%","COERENTE")))))))))</f>
        <v>DEFINIRE DESTINAZIONE</v>
      </c>
      <c r="S13" s="10">
        <f>SUMIFS(Riparto!$E$6:$E$105,Riparto!$A$6:$A$105,A13)</f>
        <v>0</v>
      </c>
      <c r="T13">
        <f t="shared" si="5"/>
        <v>1</v>
      </c>
    </row>
    <row r="14" spans="1:20" ht="44.1" customHeight="1">
      <c r="A14" s="2" t="s">
        <v>211</v>
      </c>
      <c r="B14" s="2">
        <f>IF(E14=0,"",9)</f>
        <v>9</v>
      </c>
      <c r="C14" s="2" t="str">
        <f>IF(Procedura!$B$10="Lavori",Guida!B39,Guida!E39)</f>
        <v>Progettazione</v>
      </c>
      <c r="D14" s="6" t="str">
        <f>IF(Procedura!$B$10="Lavori",Guida!C39,Guida!F39)</f>
        <v>Coordinamento flussi informativi</v>
      </c>
      <c r="E14" s="14">
        <f>IF(Procedura!$B$10="Lavori",Guida!D39,Guida!G39)</f>
        <v>0.01</v>
      </c>
      <c r="F14" s="5" t="s">
        <v>203</v>
      </c>
      <c r="G14" s="8">
        <v>0</v>
      </c>
      <c r="H14" s="8">
        <v>0</v>
      </c>
      <c r="I14" s="8">
        <v>0</v>
      </c>
      <c r="J14" s="11">
        <f>Procedura!$B$55*E14</f>
        <v>0</v>
      </c>
      <c r="K14" s="11">
        <f>IF(Procedura!$B$32="Si",J14*G14,0)</f>
        <v>0</v>
      </c>
      <c r="L14" s="11">
        <f>IF(OR(AND(Procedura!$B$10="Lavori",B14=12),AND(Procedura!$B$10&lt;&gt;"Lavori",B14=4)),MIN(Procedura!$B$60,K14),IF(SUM($K$6:$K$24)-IF(Procedura!$B$10="Lavori",$K$17,$K$9)&gt;0,MAX(0,Procedura!$B$60-IF(Procedura!$B$10="Lavori",$K$17,$K$9))*K14/(SUM($K$6:$K$24)-IF(Procedura!$B$10="Lavori",$K$17,$K$9)),0))</f>
        <v>0</v>
      </c>
      <c r="M14" s="11">
        <f t="shared" si="0"/>
        <v>0</v>
      </c>
      <c r="N14" s="11">
        <f t="shared" si="1"/>
        <v>0</v>
      </c>
      <c r="O14" s="11">
        <f t="shared" si="2"/>
        <v>0</v>
      </c>
      <c r="P14" s="11">
        <f t="shared" si="3"/>
        <v>0</v>
      </c>
      <c r="Q14" s="11">
        <f t="shared" si="4"/>
        <v>0</v>
      </c>
      <c r="R14" s="2" t="str">
        <f>IF(AND(Procedura!$B$10="Lavori",B14=9,F14="Interna",Procedura!$B$31&lt;&gt;"Si"),"FLUSSI INFORMATIVI SENZA BIM",IF(AND(Procedura!$B$10&lt;&gt;"Lavori",B14=1,F14="Interna",Procedura!$B$41&lt;&gt;"Si"),"PROGRAMMAZIONE SOLO CONTO CAPITALE",IF(E14=0,IF(COUNTIFS(Riparto!$A$6:$A$105,A14)&gt;0,"VOCE NON PRESENTE IN TABELLA",""),IF(H14+I14&gt;1.000001,"MATURAZIONE OLTRE 100%",IF(AND(G14&gt;0,NOT(IF(Procedura!$B$10="Lavori",AND(B14&gt;=10,B14&lt;=12),AND(B14&gt;=2,B14&lt;=4)))),"CUC SU FASE NON AFFIDAMENTO",IF(AND(Procedura!$B$10&lt;&gt;"Lavori",B14=2,G14&gt;Procedura!$B$39),"CUC OLTRE FRAZIONE AFFIDAMENTO",IF(F14="Da definire","DEFINIRE DESTINAZIONE",IF(AND(F14&lt;&gt;"Interna",OR(I14&gt;0,S14&gt;0)),"ASSEGNATARI SU VOCE NON INTERNA",IF(AND(F14="Interna",M14&gt;0,ABS(S14-1)&gt;0.000001),"RIPARTO INTERNO NON PARI A 100%","COERENTE")))))))))</f>
        <v>DEFINIRE DESTINAZIONE</v>
      </c>
      <c r="S14" s="10">
        <f>SUMIFS(Riparto!$E$6:$E$105,Riparto!$A$6:$A$105,A14)</f>
        <v>0</v>
      </c>
      <c r="T14">
        <f t="shared" si="5"/>
        <v>1</v>
      </c>
    </row>
    <row r="15" spans="1:20" ht="44.1" customHeight="1">
      <c r="A15" s="2" t="s">
        <v>212</v>
      </c>
      <c r="B15" s="2">
        <f>IF(E15=0,"",10)</f>
        <v>10</v>
      </c>
      <c r="C15" s="2" t="str">
        <f>IF(Procedura!$B$10="Lavori",Guida!B40,Guida!E40)</f>
        <v>Affidamento</v>
      </c>
      <c r="D15" s="6" t="str">
        <f>IF(Procedura!$B$10="Lavori",Guida!C40,Guida!F40)</f>
        <v>RUP affidamento</v>
      </c>
      <c r="E15" s="14">
        <f>IF(Procedura!$B$10="Lavori",Guida!D40,Guida!G40)</f>
        <v>0.1</v>
      </c>
      <c r="F15" s="5" t="s">
        <v>203</v>
      </c>
      <c r="G15" s="8">
        <v>0</v>
      </c>
      <c r="H15" s="8">
        <v>0</v>
      </c>
      <c r="I15" s="8">
        <v>0</v>
      </c>
      <c r="J15" s="11">
        <f>Procedura!$B$55*E15</f>
        <v>0</v>
      </c>
      <c r="K15" s="11">
        <f>IF(Procedura!$B$32="Si",J15*G15,0)</f>
        <v>0</v>
      </c>
      <c r="L15" s="11">
        <f>IF(OR(AND(Procedura!$B$10="Lavori",B15=12),AND(Procedura!$B$10&lt;&gt;"Lavori",B15=4)),MIN(Procedura!$B$60,K15),IF(SUM($K$6:$K$24)-IF(Procedura!$B$10="Lavori",$K$17,$K$9)&gt;0,MAX(0,Procedura!$B$60-IF(Procedura!$B$10="Lavori",$K$17,$K$9))*K15/(SUM($K$6:$K$24)-IF(Procedura!$B$10="Lavori",$K$17,$K$9)),0))</f>
        <v>0</v>
      </c>
      <c r="M15" s="11">
        <f t="shared" si="0"/>
        <v>0</v>
      </c>
      <c r="N15" s="11">
        <f t="shared" si="1"/>
        <v>0</v>
      </c>
      <c r="O15" s="11">
        <f t="shared" si="2"/>
        <v>0</v>
      </c>
      <c r="P15" s="11">
        <f t="shared" si="3"/>
        <v>0</v>
      </c>
      <c r="Q15" s="11">
        <f t="shared" si="4"/>
        <v>0</v>
      </c>
      <c r="R15" s="2" t="str">
        <f>IF(AND(Procedura!$B$10="Lavori",B15=9,F15="Interna",Procedura!$B$31&lt;&gt;"Si"),"FLUSSI INFORMATIVI SENZA BIM",IF(AND(Procedura!$B$10&lt;&gt;"Lavori",B15=1,F15="Interna",Procedura!$B$41&lt;&gt;"Si"),"PROGRAMMAZIONE SOLO CONTO CAPITALE",IF(E15=0,IF(COUNTIFS(Riparto!$A$6:$A$105,A15)&gt;0,"VOCE NON PRESENTE IN TABELLA",""),IF(H15+I15&gt;1.000001,"MATURAZIONE OLTRE 100%",IF(AND(G15&gt;0,NOT(IF(Procedura!$B$10="Lavori",AND(B15&gt;=10,B15&lt;=12),AND(B15&gt;=2,B15&lt;=4)))),"CUC SU FASE NON AFFIDAMENTO",IF(AND(Procedura!$B$10&lt;&gt;"Lavori",B15=2,G15&gt;Procedura!$B$39),"CUC OLTRE FRAZIONE AFFIDAMENTO",IF(F15="Da definire","DEFINIRE DESTINAZIONE",IF(AND(F15&lt;&gt;"Interna",OR(I15&gt;0,S15&gt;0)),"ASSEGNATARI SU VOCE NON INTERNA",IF(AND(F15="Interna",M15&gt;0,ABS(S15-1)&gt;0.000001),"RIPARTO INTERNO NON PARI A 100%","COERENTE")))))))))</f>
        <v>DEFINIRE DESTINAZIONE</v>
      </c>
      <c r="S15" s="10">
        <f>SUMIFS(Riparto!$E$6:$E$105,Riparto!$A$6:$A$105,A15)</f>
        <v>0</v>
      </c>
      <c r="T15">
        <f t="shared" si="5"/>
        <v>1</v>
      </c>
    </row>
    <row r="16" spans="1:20" ht="44.1" customHeight="1">
      <c r="A16" s="2" t="s">
        <v>213</v>
      </c>
      <c r="B16" s="2">
        <f>IF(E16=0,"",11)</f>
        <v>11</v>
      </c>
      <c r="C16" s="2" t="str">
        <f>IF(Procedura!$B$10="Lavori",Guida!B41,Guida!E41)</f>
        <v>Affidamento</v>
      </c>
      <c r="D16" s="6" t="str">
        <f>IF(Procedura!$B$10="Lavori",Guida!C41,Guida!F41)</f>
        <v>Collaborazione RUP affidamento</v>
      </c>
      <c r="E16" s="14">
        <f>IF(Procedura!$B$10="Lavori",Guida!D41,Guida!G41)</f>
        <v>0.1</v>
      </c>
      <c r="F16" s="5" t="s">
        <v>203</v>
      </c>
      <c r="G16" s="8">
        <v>0</v>
      </c>
      <c r="H16" s="8">
        <v>0</v>
      </c>
      <c r="I16" s="8">
        <v>0</v>
      </c>
      <c r="J16" s="11">
        <f>Procedura!$B$55*E16</f>
        <v>0</v>
      </c>
      <c r="K16" s="11">
        <f>IF(Procedura!$B$32="Si",J16*G16,0)</f>
        <v>0</v>
      </c>
      <c r="L16" s="11">
        <f>IF(OR(AND(Procedura!$B$10="Lavori",B16=12),AND(Procedura!$B$10&lt;&gt;"Lavori",B16=4)),MIN(Procedura!$B$60,K16),IF(SUM($K$6:$K$24)-IF(Procedura!$B$10="Lavori",$K$17,$K$9)&gt;0,MAX(0,Procedura!$B$60-IF(Procedura!$B$10="Lavori",$K$17,$K$9))*K16/(SUM($K$6:$K$24)-IF(Procedura!$B$10="Lavori",$K$17,$K$9)),0))</f>
        <v>0</v>
      </c>
      <c r="M16" s="11">
        <f t="shared" si="0"/>
        <v>0</v>
      </c>
      <c r="N16" s="11">
        <f t="shared" si="1"/>
        <v>0</v>
      </c>
      <c r="O16" s="11">
        <f t="shared" si="2"/>
        <v>0</v>
      </c>
      <c r="P16" s="11">
        <f t="shared" si="3"/>
        <v>0</v>
      </c>
      <c r="Q16" s="11">
        <f t="shared" si="4"/>
        <v>0</v>
      </c>
      <c r="R16" s="2" t="str">
        <f>IF(AND(Procedura!$B$10="Lavori",B16=9,F16="Interna",Procedura!$B$31&lt;&gt;"Si"),"FLUSSI INFORMATIVI SENZA BIM",IF(AND(Procedura!$B$10&lt;&gt;"Lavori",B16=1,F16="Interna",Procedura!$B$41&lt;&gt;"Si"),"PROGRAMMAZIONE SOLO CONTO CAPITALE",IF(E16=0,IF(COUNTIFS(Riparto!$A$6:$A$105,A16)&gt;0,"VOCE NON PRESENTE IN TABELLA",""),IF(H16+I16&gt;1.000001,"MATURAZIONE OLTRE 100%",IF(AND(G16&gt;0,NOT(IF(Procedura!$B$10="Lavori",AND(B16&gt;=10,B16&lt;=12),AND(B16&gt;=2,B16&lt;=4)))),"CUC SU FASE NON AFFIDAMENTO",IF(AND(Procedura!$B$10&lt;&gt;"Lavori",B16=2,G16&gt;Procedura!$B$39),"CUC OLTRE FRAZIONE AFFIDAMENTO",IF(F16="Da definire","DEFINIRE DESTINAZIONE",IF(AND(F16&lt;&gt;"Interna",OR(I16&gt;0,S16&gt;0)),"ASSEGNATARI SU VOCE NON INTERNA",IF(AND(F16="Interna",M16&gt;0,ABS(S16-1)&gt;0.000001),"RIPARTO INTERNO NON PARI A 100%","COERENTE")))))))))</f>
        <v>DEFINIRE DESTINAZIONE</v>
      </c>
      <c r="S16" s="10">
        <f>SUMIFS(Riparto!$E$6:$E$105,Riparto!$A$6:$A$105,A16)</f>
        <v>0</v>
      </c>
      <c r="T16">
        <f t="shared" si="5"/>
        <v>1</v>
      </c>
    </row>
    <row r="17" spans="1:20" ht="44.1" customHeight="1">
      <c r="A17" s="2" t="s">
        <v>214</v>
      </c>
      <c r="B17" s="2">
        <f>IF(E17=0,"",12)</f>
        <v>12</v>
      </c>
      <c r="C17" s="2" t="str">
        <f>IF(Procedura!$B$10="Lavori",Guida!B42,Guida!E42)</f>
        <v>Affidamento</v>
      </c>
      <c r="D17" s="6" t="str">
        <f>IF(Procedura!$B$10="Lavori",Guida!C42,Guida!F42)</f>
        <v>Predisposizione documenti di gara</v>
      </c>
      <c r="E17" s="14">
        <f>IF(Procedura!$B$10="Lavori",Guida!D42,Guida!G42)</f>
        <v>7.0000000000000007E-2</v>
      </c>
      <c r="F17" s="5" t="s">
        <v>203</v>
      </c>
      <c r="G17" s="8">
        <v>0</v>
      </c>
      <c r="H17" s="8">
        <v>0</v>
      </c>
      <c r="I17" s="8">
        <v>0</v>
      </c>
      <c r="J17" s="11">
        <f>Procedura!$B$55*E17</f>
        <v>0</v>
      </c>
      <c r="K17" s="11">
        <f>IF(Procedura!$B$32="Si",J17*G17,0)</f>
        <v>0</v>
      </c>
      <c r="L17" s="11">
        <f>IF(OR(AND(Procedura!$B$10="Lavori",B17=12),AND(Procedura!$B$10&lt;&gt;"Lavori",B17=4)),MIN(Procedura!$B$60,K17),IF(SUM($K$6:$K$24)-IF(Procedura!$B$10="Lavori",$K$17,$K$9)&gt;0,MAX(0,Procedura!$B$60-IF(Procedura!$B$10="Lavori",$K$17,$K$9))*K17/(SUM($K$6:$K$24)-IF(Procedura!$B$10="Lavori",$K$17,$K$9)),0))</f>
        <v>0</v>
      </c>
      <c r="M17" s="11">
        <f t="shared" si="0"/>
        <v>0</v>
      </c>
      <c r="N17" s="11">
        <f t="shared" si="1"/>
        <v>0</v>
      </c>
      <c r="O17" s="11">
        <f t="shared" si="2"/>
        <v>0</v>
      </c>
      <c r="P17" s="11">
        <f t="shared" si="3"/>
        <v>0</v>
      </c>
      <c r="Q17" s="11">
        <f t="shared" si="4"/>
        <v>0</v>
      </c>
      <c r="R17" s="2" t="str">
        <f>IF(AND(Procedura!$B$10="Lavori",B17=9,F17="Interna",Procedura!$B$31&lt;&gt;"Si"),"FLUSSI INFORMATIVI SENZA BIM",IF(AND(Procedura!$B$10&lt;&gt;"Lavori",B17=1,F17="Interna",Procedura!$B$41&lt;&gt;"Si"),"PROGRAMMAZIONE SOLO CONTO CAPITALE",IF(E17=0,IF(COUNTIFS(Riparto!$A$6:$A$105,A17)&gt;0,"VOCE NON PRESENTE IN TABELLA",""),IF(H17+I17&gt;1.000001,"MATURAZIONE OLTRE 100%",IF(AND(G17&gt;0,NOT(IF(Procedura!$B$10="Lavori",AND(B17&gt;=10,B17&lt;=12),AND(B17&gt;=2,B17&lt;=4)))),"CUC SU FASE NON AFFIDAMENTO",IF(AND(Procedura!$B$10&lt;&gt;"Lavori",B17=2,G17&gt;Procedura!$B$39),"CUC OLTRE FRAZIONE AFFIDAMENTO",IF(F17="Da definire","DEFINIRE DESTINAZIONE",IF(AND(F17&lt;&gt;"Interna",OR(I17&gt;0,S17&gt;0)),"ASSEGNATARI SU VOCE NON INTERNA",IF(AND(F17="Interna",M17&gt;0,ABS(S17-1)&gt;0.000001),"RIPARTO INTERNO NON PARI A 100%","COERENTE")))))))))</f>
        <v>DEFINIRE DESTINAZIONE</v>
      </c>
      <c r="S17" s="10">
        <f>SUMIFS(Riparto!$E$6:$E$105,Riparto!$A$6:$A$105,A17)</f>
        <v>0</v>
      </c>
      <c r="T17">
        <f t="shared" si="5"/>
        <v>1</v>
      </c>
    </row>
    <row r="18" spans="1:20" ht="44.1" customHeight="1">
      <c r="A18" s="2" t="s">
        <v>215</v>
      </c>
      <c r="B18" s="2">
        <f>IF(E18=0,"",13)</f>
        <v>13</v>
      </c>
      <c r="C18" s="2" t="str">
        <f>IF(Procedura!$B$10="Lavori",Guida!B43,Guida!E43)</f>
        <v>Esecuzione</v>
      </c>
      <c r="D18" s="6" t="str">
        <f>IF(Procedura!$B$10="Lavori",Guida!C43,Guida!F43)</f>
        <v>RUP esecuzione</v>
      </c>
      <c r="E18" s="14">
        <f>IF(Procedura!$B$10="Lavori",Guida!D43,Guida!G43)</f>
        <v>0.11</v>
      </c>
      <c r="F18" s="5" t="s">
        <v>203</v>
      </c>
      <c r="G18" s="8">
        <v>0</v>
      </c>
      <c r="H18" s="8">
        <v>0</v>
      </c>
      <c r="I18" s="8">
        <v>0</v>
      </c>
      <c r="J18" s="11">
        <f>Procedura!$B$55*E18</f>
        <v>0</v>
      </c>
      <c r="K18" s="11">
        <f>IF(Procedura!$B$32="Si",J18*G18,0)</f>
        <v>0</v>
      </c>
      <c r="L18" s="11">
        <f>IF(OR(AND(Procedura!$B$10="Lavori",B18=12),AND(Procedura!$B$10&lt;&gt;"Lavori",B18=4)),MIN(Procedura!$B$60,K18),IF(SUM($K$6:$K$24)-IF(Procedura!$B$10="Lavori",$K$17,$K$9)&gt;0,MAX(0,Procedura!$B$60-IF(Procedura!$B$10="Lavori",$K$17,$K$9))*K18/(SUM($K$6:$K$24)-IF(Procedura!$B$10="Lavori",$K$17,$K$9)),0))</f>
        <v>0</v>
      </c>
      <c r="M18" s="11">
        <f t="shared" si="0"/>
        <v>0</v>
      </c>
      <c r="N18" s="11">
        <f t="shared" si="1"/>
        <v>0</v>
      </c>
      <c r="O18" s="11">
        <f t="shared" si="2"/>
        <v>0</v>
      </c>
      <c r="P18" s="11">
        <f t="shared" si="3"/>
        <v>0</v>
      </c>
      <c r="Q18" s="11">
        <f t="shared" si="4"/>
        <v>0</v>
      </c>
      <c r="R18" s="2" t="str">
        <f>IF(AND(Procedura!$B$10="Lavori",B18=9,F18="Interna",Procedura!$B$31&lt;&gt;"Si"),"FLUSSI INFORMATIVI SENZA BIM",IF(AND(Procedura!$B$10&lt;&gt;"Lavori",B18=1,F18="Interna",Procedura!$B$41&lt;&gt;"Si"),"PROGRAMMAZIONE SOLO CONTO CAPITALE",IF(E18=0,IF(COUNTIFS(Riparto!$A$6:$A$105,A18)&gt;0,"VOCE NON PRESENTE IN TABELLA",""),IF(H18+I18&gt;1.000001,"MATURAZIONE OLTRE 100%",IF(AND(G18&gt;0,NOT(IF(Procedura!$B$10="Lavori",AND(B18&gt;=10,B18&lt;=12),AND(B18&gt;=2,B18&lt;=4)))),"CUC SU FASE NON AFFIDAMENTO",IF(AND(Procedura!$B$10&lt;&gt;"Lavori",B18=2,G18&gt;Procedura!$B$39),"CUC OLTRE FRAZIONE AFFIDAMENTO",IF(F18="Da definire","DEFINIRE DESTINAZIONE",IF(AND(F18&lt;&gt;"Interna",OR(I18&gt;0,S18&gt;0)),"ASSEGNATARI SU VOCE NON INTERNA",IF(AND(F18="Interna",M18&gt;0,ABS(S18-1)&gt;0.000001),"RIPARTO INTERNO NON PARI A 100%","COERENTE")))))))))</f>
        <v>DEFINIRE DESTINAZIONE</v>
      </c>
      <c r="S18" s="10">
        <f>SUMIFS(Riparto!$E$6:$E$105,Riparto!$A$6:$A$105,A18)</f>
        <v>0</v>
      </c>
      <c r="T18">
        <f t="shared" si="5"/>
        <v>1</v>
      </c>
    </row>
    <row r="19" spans="1:20" ht="44.1" customHeight="1">
      <c r="A19" s="2" t="s">
        <v>216</v>
      </c>
      <c r="B19" s="2">
        <f>IF(E19=0,"",14)</f>
        <v>14</v>
      </c>
      <c r="C19" s="2" t="str">
        <f>IF(Procedura!$B$10="Lavori",Guida!B44,Guida!E44)</f>
        <v>Esecuzione</v>
      </c>
      <c r="D19" s="6" t="str">
        <f>IF(Procedura!$B$10="Lavori",Guida!C44,Guida!F44)</f>
        <v>Collaborazione RUP esecuzione</v>
      </c>
      <c r="E19" s="14">
        <f>IF(Procedura!$B$10="Lavori",Guida!D44,Guida!G44)</f>
        <v>0.05</v>
      </c>
      <c r="F19" s="5" t="s">
        <v>203</v>
      </c>
      <c r="G19" s="8">
        <v>0</v>
      </c>
      <c r="H19" s="8">
        <v>0</v>
      </c>
      <c r="I19" s="8">
        <v>0</v>
      </c>
      <c r="J19" s="11">
        <f>Procedura!$B$55*E19</f>
        <v>0</v>
      </c>
      <c r="K19" s="11">
        <f>IF(Procedura!$B$32="Si",J19*G19,0)</f>
        <v>0</v>
      </c>
      <c r="L19" s="11">
        <f>IF(OR(AND(Procedura!$B$10="Lavori",B19=12),AND(Procedura!$B$10&lt;&gt;"Lavori",B19=4)),MIN(Procedura!$B$60,K19),IF(SUM($K$6:$K$24)-IF(Procedura!$B$10="Lavori",$K$17,$K$9)&gt;0,MAX(0,Procedura!$B$60-IF(Procedura!$B$10="Lavori",$K$17,$K$9))*K19/(SUM($K$6:$K$24)-IF(Procedura!$B$10="Lavori",$K$17,$K$9)),0))</f>
        <v>0</v>
      </c>
      <c r="M19" s="11">
        <f t="shared" si="0"/>
        <v>0</v>
      </c>
      <c r="N19" s="11">
        <f t="shared" si="1"/>
        <v>0</v>
      </c>
      <c r="O19" s="11">
        <f t="shared" si="2"/>
        <v>0</v>
      </c>
      <c r="P19" s="11">
        <f t="shared" si="3"/>
        <v>0</v>
      </c>
      <c r="Q19" s="11">
        <f t="shared" si="4"/>
        <v>0</v>
      </c>
      <c r="R19" s="2" t="str">
        <f>IF(AND(Procedura!$B$10="Lavori",B19=9,F19="Interna",Procedura!$B$31&lt;&gt;"Si"),"FLUSSI INFORMATIVI SENZA BIM",IF(AND(Procedura!$B$10&lt;&gt;"Lavori",B19=1,F19="Interna",Procedura!$B$41&lt;&gt;"Si"),"PROGRAMMAZIONE SOLO CONTO CAPITALE",IF(E19=0,IF(COUNTIFS(Riparto!$A$6:$A$105,A19)&gt;0,"VOCE NON PRESENTE IN TABELLA",""),IF(H19+I19&gt;1.000001,"MATURAZIONE OLTRE 100%",IF(AND(G19&gt;0,NOT(IF(Procedura!$B$10="Lavori",AND(B19&gt;=10,B19&lt;=12),AND(B19&gt;=2,B19&lt;=4)))),"CUC SU FASE NON AFFIDAMENTO",IF(AND(Procedura!$B$10&lt;&gt;"Lavori",B19=2,G19&gt;Procedura!$B$39),"CUC OLTRE FRAZIONE AFFIDAMENTO",IF(F19="Da definire","DEFINIRE DESTINAZIONE",IF(AND(F19&lt;&gt;"Interna",OR(I19&gt;0,S19&gt;0)),"ASSEGNATARI SU VOCE NON INTERNA",IF(AND(F19="Interna",M19&gt;0,ABS(S19-1)&gt;0.000001),"RIPARTO INTERNO NON PARI A 100%","COERENTE")))))))))</f>
        <v>DEFINIRE DESTINAZIONE</v>
      </c>
      <c r="S19" s="10">
        <f>SUMIFS(Riparto!$E$6:$E$105,Riparto!$A$6:$A$105,A19)</f>
        <v>0</v>
      </c>
      <c r="T19">
        <f t="shared" si="5"/>
        <v>1</v>
      </c>
    </row>
    <row r="20" spans="1:20" ht="44.1" customHeight="1">
      <c r="A20" s="2" t="s">
        <v>217</v>
      </c>
      <c r="B20" s="2">
        <f>IF(E20=0,"",15)</f>
        <v>15</v>
      </c>
      <c r="C20" s="2" t="str">
        <f>IF(Procedura!$B$10="Lavori",Guida!B45,Guida!E45)</f>
        <v>Esecuzione</v>
      </c>
      <c r="D20" s="6" t="str">
        <f>IF(Procedura!$B$10="Lavori",Guida!C45,Guida!F45)</f>
        <v>Direzione lavori</v>
      </c>
      <c r="E20" s="14">
        <f>IF(Procedura!$B$10="Lavori",Guida!D45,Guida!G45)</f>
        <v>0.08</v>
      </c>
      <c r="F20" s="5" t="s">
        <v>203</v>
      </c>
      <c r="G20" s="8">
        <v>0</v>
      </c>
      <c r="H20" s="8">
        <v>0</v>
      </c>
      <c r="I20" s="8">
        <v>0</v>
      </c>
      <c r="J20" s="11">
        <f>Procedura!$B$55*E20</f>
        <v>0</v>
      </c>
      <c r="K20" s="11">
        <f>IF(Procedura!$B$32="Si",J20*G20,0)</f>
        <v>0</v>
      </c>
      <c r="L20" s="11">
        <f>IF(OR(AND(Procedura!$B$10="Lavori",B20=12),AND(Procedura!$B$10&lt;&gt;"Lavori",B20=4)),MIN(Procedura!$B$60,K20),IF(SUM($K$6:$K$24)-IF(Procedura!$B$10="Lavori",$K$17,$K$9)&gt;0,MAX(0,Procedura!$B$60-IF(Procedura!$B$10="Lavori",$K$17,$K$9))*K20/(SUM($K$6:$K$24)-IF(Procedura!$B$10="Lavori",$K$17,$K$9)),0))</f>
        <v>0</v>
      </c>
      <c r="M20" s="11">
        <f t="shared" si="0"/>
        <v>0</v>
      </c>
      <c r="N20" s="11">
        <f t="shared" si="1"/>
        <v>0</v>
      </c>
      <c r="O20" s="11">
        <f t="shared" si="2"/>
        <v>0</v>
      </c>
      <c r="P20" s="11">
        <f t="shared" si="3"/>
        <v>0</v>
      </c>
      <c r="Q20" s="11">
        <f t="shared" si="4"/>
        <v>0</v>
      </c>
      <c r="R20" s="2" t="str">
        <f>IF(AND(Procedura!$B$10="Lavori",B20=9,F20="Interna",Procedura!$B$31&lt;&gt;"Si"),"FLUSSI INFORMATIVI SENZA BIM",IF(AND(Procedura!$B$10&lt;&gt;"Lavori",B20=1,F20="Interna",Procedura!$B$41&lt;&gt;"Si"),"PROGRAMMAZIONE SOLO CONTO CAPITALE",IF(E20=0,IF(COUNTIFS(Riparto!$A$6:$A$105,A20)&gt;0,"VOCE NON PRESENTE IN TABELLA",""),IF(H20+I20&gt;1.000001,"MATURAZIONE OLTRE 100%",IF(AND(G20&gt;0,NOT(IF(Procedura!$B$10="Lavori",AND(B20&gt;=10,B20&lt;=12),AND(B20&gt;=2,B20&lt;=4)))),"CUC SU FASE NON AFFIDAMENTO",IF(AND(Procedura!$B$10&lt;&gt;"Lavori",B20=2,G20&gt;Procedura!$B$39),"CUC OLTRE FRAZIONE AFFIDAMENTO",IF(F20="Da definire","DEFINIRE DESTINAZIONE",IF(AND(F20&lt;&gt;"Interna",OR(I20&gt;0,S20&gt;0)),"ASSEGNATARI SU VOCE NON INTERNA",IF(AND(F20="Interna",M20&gt;0,ABS(S20-1)&gt;0.000001),"RIPARTO INTERNO NON PARI A 100%","COERENTE")))))))))</f>
        <v>DEFINIRE DESTINAZIONE</v>
      </c>
      <c r="S20" s="10">
        <f>SUMIFS(Riparto!$E$6:$E$105,Riparto!$A$6:$A$105,A20)</f>
        <v>0</v>
      </c>
      <c r="T20">
        <f t="shared" si="5"/>
        <v>1</v>
      </c>
    </row>
    <row r="21" spans="1:20" ht="44.1" customHeight="1">
      <c r="A21" s="2" t="s">
        <v>218</v>
      </c>
      <c r="B21" s="2">
        <f>IF(E21=0,"",16)</f>
        <v>16</v>
      </c>
      <c r="C21" s="2" t="str">
        <f>IF(Procedura!$B$10="Lavori",Guida!B46,Guida!E46)</f>
        <v>Esecuzione</v>
      </c>
      <c r="D21" s="6" t="str">
        <f>IF(Procedura!$B$10="Lavori",Guida!C46,Guida!F46)</f>
        <v>Ufficio direzione lavori</v>
      </c>
      <c r="E21" s="14">
        <f>IF(Procedura!$B$10="Lavori",Guida!D46,Guida!G46)</f>
        <v>0.02</v>
      </c>
      <c r="F21" s="5" t="s">
        <v>203</v>
      </c>
      <c r="G21" s="8">
        <v>0</v>
      </c>
      <c r="H21" s="8">
        <v>0</v>
      </c>
      <c r="I21" s="8">
        <v>0</v>
      </c>
      <c r="J21" s="11">
        <f>Procedura!$B$55*E21</f>
        <v>0</v>
      </c>
      <c r="K21" s="11">
        <f>IF(Procedura!$B$32="Si",J21*G21,0)</f>
        <v>0</v>
      </c>
      <c r="L21" s="11">
        <f>IF(OR(AND(Procedura!$B$10="Lavori",B21=12),AND(Procedura!$B$10&lt;&gt;"Lavori",B21=4)),MIN(Procedura!$B$60,K21),IF(SUM($K$6:$K$24)-IF(Procedura!$B$10="Lavori",$K$17,$K$9)&gt;0,MAX(0,Procedura!$B$60-IF(Procedura!$B$10="Lavori",$K$17,$K$9))*K21/(SUM($K$6:$K$24)-IF(Procedura!$B$10="Lavori",$K$17,$K$9)),0))</f>
        <v>0</v>
      </c>
      <c r="M21" s="11">
        <f t="shared" si="0"/>
        <v>0</v>
      </c>
      <c r="N21" s="11">
        <f t="shared" si="1"/>
        <v>0</v>
      </c>
      <c r="O21" s="11">
        <f t="shared" si="2"/>
        <v>0</v>
      </c>
      <c r="P21" s="11">
        <f t="shared" si="3"/>
        <v>0</v>
      </c>
      <c r="Q21" s="11">
        <f t="shared" si="4"/>
        <v>0</v>
      </c>
      <c r="R21" s="2" t="str">
        <f>IF(AND(Procedura!$B$10="Lavori",B21=9,F21="Interna",Procedura!$B$31&lt;&gt;"Si"),"FLUSSI INFORMATIVI SENZA BIM",IF(AND(Procedura!$B$10&lt;&gt;"Lavori",B21=1,F21="Interna",Procedura!$B$41&lt;&gt;"Si"),"PROGRAMMAZIONE SOLO CONTO CAPITALE",IF(E21=0,IF(COUNTIFS(Riparto!$A$6:$A$105,A21)&gt;0,"VOCE NON PRESENTE IN TABELLA",""),IF(H21+I21&gt;1.000001,"MATURAZIONE OLTRE 100%",IF(AND(G21&gt;0,NOT(IF(Procedura!$B$10="Lavori",AND(B21&gt;=10,B21&lt;=12),AND(B21&gt;=2,B21&lt;=4)))),"CUC SU FASE NON AFFIDAMENTO",IF(AND(Procedura!$B$10&lt;&gt;"Lavori",B21=2,G21&gt;Procedura!$B$39),"CUC OLTRE FRAZIONE AFFIDAMENTO",IF(F21="Da definire","DEFINIRE DESTINAZIONE",IF(AND(F21&lt;&gt;"Interna",OR(I21&gt;0,S21&gt;0)),"ASSEGNATARI SU VOCE NON INTERNA",IF(AND(F21="Interna",M21&gt;0,ABS(S21-1)&gt;0.000001),"RIPARTO INTERNO NON PARI A 100%","COERENTE")))))))))</f>
        <v>DEFINIRE DESTINAZIONE</v>
      </c>
      <c r="S21" s="10">
        <f>SUMIFS(Riparto!$E$6:$E$105,Riparto!$A$6:$A$105,A21)</f>
        <v>0</v>
      </c>
      <c r="T21">
        <f t="shared" si="5"/>
        <v>1</v>
      </c>
    </row>
    <row r="22" spans="1:20" ht="44.1" customHeight="1">
      <c r="A22" s="2" t="s">
        <v>219</v>
      </c>
      <c r="B22" s="2">
        <f>IF(E22=0,"",17)</f>
        <v>17</v>
      </c>
      <c r="C22" s="2" t="str">
        <f>IF(Procedura!$B$10="Lavori",Guida!B47,Guida!E47)</f>
        <v>Esecuzione</v>
      </c>
      <c r="D22" s="6" t="str">
        <f>IF(Procedura!$B$10="Lavori",Guida!C47,Guida!F47)</f>
        <v>Sicurezza esecuzione</v>
      </c>
      <c r="E22" s="14">
        <f>IF(Procedura!$B$10="Lavori",Guida!D47,Guida!G47)</f>
        <v>0.02</v>
      </c>
      <c r="F22" s="5" t="s">
        <v>203</v>
      </c>
      <c r="G22" s="8">
        <v>0</v>
      </c>
      <c r="H22" s="8">
        <v>0</v>
      </c>
      <c r="I22" s="8">
        <v>0</v>
      </c>
      <c r="J22" s="11">
        <f>Procedura!$B$55*E22</f>
        <v>0</v>
      </c>
      <c r="K22" s="11">
        <f>IF(Procedura!$B$32="Si",J22*G22,0)</f>
        <v>0</v>
      </c>
      <c r="L22" s="11">
        <f>IF(OR(AND(Procedura!$B$10="Lavori",B22=12),AND(Procedura!$B$10&lt;&gt;"Lavori",B22=4)),MIN(Procedura!$B$60,K22),IF(SUM($K$6:$K$24)-IF(Procedura!$B$10="Lavori",$K$17,$K$9)&gt;0,MAX(0,Procedura!$B$60-IF(Procedura!$B$10="Lavori",$K$17,$K$9))*K22/(SUM($K$6:$K$24)-IF(Procedura!$B$10="Lavori",$K$17,$K$9)),0))</f>
        <v>0</v>
      </c>
      <c r="M22" s="11">
        <f t="shared" si="0"/>
        <v>0</v>
      </c>
      <c r="N22" s="11">
        <f t="shared" si="1"/>
        <v>0</v>
      </c>
      <c r="O22" s="11">
        <f t="shared" si="2"/>
        <v>0</v>
      </c>
      <c r="P22" s="11">
        <f t="shared" si="3"/>
        <v>0</v>
      </c>
      <c r="Q22" s="11">
        <f t="shared" si="4"/>
        <v>0</v>
      </c>
      <c r="R22" s="2" t="str">
        <f>IF(AND(Procedura!$B$10="Lavori",B22=9,F22="Interna",Procedura!$B$31&lt;&gt;"Si"),"FLUSSI INFORMATIVI SENZA BIM",IF(AND(Procedura!$B$10&lt;&gt;"Lavori",B22=1,F22="Interna",Procedura!$B$41&lt;&gt;"Si"),"PROGRAMMAZIONE SOLO CONTO CAPITALE",IF(E22=0,IF(COUNTIFS(Riparto!$A$6:$A$105,A22)&gt;0,"VOCE NON PRESENTE IN TABELLA",""),IF(H22+I22&gt;1.000001,"MATURAZIONE OLTRE 100%",IF(AND(G22&gt;0,NOT(IF(Procedura!$B$10="Lavori",AND(B22&gt;=10,B22&lt;=12),AND(B22&gt;=2,B22&lt;=4)))),"CUC SU FASE NON AFFIDAMENTO",IF(AND(Procedura!$B$10&lt;&gt;"Lavori",B22=2,G22&gt;Procedura!$B$39),"CUC OLTRE FRAZIONE AFFIDAMENTO",IF(F22="Da definire","DEFINIRE DESTINAZIONE",IF(AND(F22&lt;&gt;"Interna",OR(I22&gt;0,S22&gt;0)),"ASSEGNATARI SU VOCE NON INTERNA",IF(AND(F22="Interna",M22&gt;0,ABS(S22-1)&gt;0.000001),"RIPARTO INTERNO NON PARI A 100%","COERENTE")))))))))</f>
        <v>DEFINIRE DESTINAZIONE</v>
      </c>
      <c r="S22" s="10">
        <f>SUMIFS(Riparto!$E$6:$E$105,Riparto!$A$6:$A$105,A22)</f>
        <v>0</v>
      </c>
      <c r="T22">
        <f t="shared" si="5"/>
        <v>1</v>
      </c>
    </row>
    <row r="23" spans="1:20" ht="44.1" customHeight="1">
      <c r="A23" s="2" t="s">
        <v>220</v>
      </c>
      <c r="B23" s="2">
        <f>IF(E23=0,"",18)</f>
        <v>18</v>
      </c>
      <c r="C23" s="2" t="str">
        <f>IF(Procedura!$B$10="Lavori",Guida!B48,Guida!E48)</f>
        <v>Esecuzione</v>
      </c>
      <c r="D23" s="6" t="str">
        <f>IF(Procedura!$B$10="Lavori",Guida!C48,Guida!F48)</f>
        <v>Collaudo / regolare esecuzione</v>
      </c>
      <c r="E23" s="14">
        <f>IF(Procedura!$B$10="Lavori",Guida!D48,Guida!G48)</f>
        <v>0.04</v>
      </c>
      <c r="F23" s="5" t="s">
        <v>203</v>
      </c>
      <c r="G23" s="8">
        <v>0</v>
      </c>
      <c r="H23" s="8">
        <v>0</v>
      </c>
      <c r="I23" s="8">
        <v>0</v>
      </c>
      <c r="J23" s="11">
        <f>Procedura!$B$55*E23</f>
        <v>0</v>
      </c>
      <c r="K23" s="11">
        <f>IF(Procedura!$B$32="Si",J23*G23,0)</f>
        <v>0</v>
      </c>
      <c r="L23" s="11">
        <f>IF(OR(AND(Procedura!$B$10="Lavori",B23=12),AND(Procedura!$B$10&lt;&gt;"Lavori",B23=4)),MIN(Procedura!$B$60,K23),IF(SUM($K$6:$K$24)-IF(Procedura!$B$10="Lavori",$K$17,$K$9)&gt;0,MAX(0,Procedura!$B$60-IF(Procedura!$B$10="Lavori",$K$17,$K$9))*K23/(SUM($K$6:$K$24)-IF(Procedura!$B$10="Lavori",$K$17,$K$9)),0))</f>
        <v>0</v>
      </c>
      <c r="M23" s="11">
        <f t="shared" si="0"/>
        <v>0</v>
      </c>
      <c r="N23" s="11">
        <f t="shared" si="1"/>
        <v>0</v>
      </c>
      <c r="O23" s="11">
        <f t="shared" si="2"/>
        <v>0</v>
      </c>
      <c r="P23" s="11">
        <f t="shared" si="3"/>
        <v>0</v>
      </c>
      <c r="Q23" s="11">
        <f t="shared" si="4"/>
        <v>0</v>
      </c>
      <c r="R23" s="2" t="str">
        <f>IF(AND(Procedura!$B$10="Lavori",B23=9,F23="Interna",Procedura!$B$31&lt;&gt;"Si"),"FLUSSI INFORMATIVI SENZA BIM",IF(AND(Procedura!$B$10&lt;&gt;"Lavori",B23=1,F23="Interna",Procedura!$B$41&lt;&gt;"Si"),"PROGRAMMAZIONE SOLO CONTO CAPITALE",IF(E23=0,IF(COUNTIFS(Riparto!$A$6:$A$105,A23)&gt;0,"VOCE NON PRESENTE IN TABELLA",""),IF(H23+I23&gt;1.000001,"MATURAZIONE OLTRE 100%",IF(AND(G23&gt;0,NOT(IF(Procedura!$B$10="Lavori",AND(B23&gt;=10,B23&lt;=12),AND(B23&gt;=2,B23&lt;=4)))),"CUC SU FASE NON AFFIDAMENTO",IF(AND(Procedura!$B$10&lt;&gt;"Lavori",B23=2,G23&gt;Procedura!$B$39),"CUC OLTRE FRAZIONE AFFIDAMENTO",IF(F23="Da definire","DEFINIRE DESTINAZIONE",IF(AND(F23&lt;&gt;"Interna",OR(I23&gt;0,S23&gt;0)),"ASSEGNATARI SU VOCE NON INTERNA",IF(AND(F23="Interna",M23&gt;0,ABS(S23-1)&gt;0.000001),"RIPARTO INTERNO NON PARI A 100%","COERENTE")))))))))</f>
        <v>DEFINIRE DESTINAZIONE</v>
      </c>
      <c r="S23" s="10">
        <f>SUMIFS(Riparto!$E$6:$E$105,Riparto!$A$6:$A$105,A23)</f>
        <v>0</v>
      </c>
      <c r="T23">
        <f t="shared" si="5"/>
        <v>1</v>
      </c>
    </row>
    <row r="24" spans="1:20" ht="44.1" customHeight="1">
      <c r="A24" s="2" t="s">
        <v>221</v>
      </c>
      <c r="B24" s="2">
        <f>IF(E24=0,"",19)</f>
        <v>19</v>
      </c>
      <c r="C24" s="2" t="str">
        <f>IF(Procedura!$B$10="Lavori",Guida!B49,Guida!E49)</f>
        <v>Esecuzione</v>
      </c>
      <c r="D24" s="6" t="str">
        <f>IF(Procedura!$B$10="Lavori",Guida!C49,Guida!F49)</f>
        <v>Collaudo statico</v>
      </c>
      <c r="E24" s="14">
        <f>IF(Procedura!$B$10="Lavori",Guida!D49,Guida!G49)</f>
        <v>0.01</v>
      </c>
      <c r="F24" s="5" t="s">
        <v>203</v>
      </c>
      <c r="G24" s="8">
        <v>0</v>
      </c>
      <c r="H24" s="8">
        <v>0</v>
      </c>
      <c r="I24" s="8">
        <v>0</v>
      </c>
      <c r="J24" s="11">
        <f>Procedura!$B$55*E24</f>
        <v>0</v>
      </c>
      <c r="K24" s="11">
        <f>IF(Procedura!$B$32="Si",J24*G24,0)</f>
        <v>0</v>
      </c>
      <c r="L24" s="11">
        <f>IF(OR(AND(Procedura!$B$10="Lavori",B24=12),AND(Procedura!$B$10&lt;&gt;"Lavori",B24=4)),MIN(Procedura!$B$60,K24),IF(SUM($K$6:$K$24)-IF(Procedura!$B$10="Lavori",$K$17,$K$9)&gt;0,MAX(0,Procedura!$B$60-IF(Procedura!$B$10="Lavori",$K$17,$K$9))*K24/(SUM($K$6:$K$24)-IF(Procedura!$B$10="Lavori",$K$17,$K$9)),0))</f>
        <v>0</v>
      </c>
      <c r="M24" s="11">
        <f t="shared" si="0"/>
        <v>0</v>
      </c>
      <c r="N24" s="11">
        <f t="shared" si="1"/>
        <v>0</v>
      </c>
      <c r="O24" s="11">
        <f t="shared" si="2"/>
        <v>0</v>
      </c>
      <c r="P24" s="11">
        <f t="shared" si="3"/>
        <v>0</v>
      </c>
      <c r="Q24" s="11">
        <f t="shared" si="4"/>
        <v>0</v>
      </c>
      <c r="R24" s="2" t="str">
        <f>IF(AND(Procedura!$B$10="Lavori",B24=9,F24="Interna",Procedura!$B$31&lt;&gt;"Si"),"FLUSSI INFORMATIVI SENZA BIM",IF(AND(Procedura!$B$10&lt;&gt;"Lavori",B24=1,F24="Interna",Procedura!$B$41&lt;&gt;"Si"),"PROGRAMMAZIONE SOLO CONTO CAPITALE",IF(E24=0,IF(COUNTIFS(Riparto!$A$6:$A$105,A24)&gt;0,"VOCE NON PRESENTE IN TABELLA",""),IF(H24+I24&gt;1.000001,"MATURAZIONE OLTRE 100%",IF(AND(G24&gt;0,NOT(IF(Procedura!$B$10="Lavori",AND(B24&gt;=10,B24&lt;=12),AND(B24&gt;=2,B24&lt;=4)))),"CUC SU FASE NON AFFIDAMENTO",IF(AND(Procedura!$B$10&lt;&gt;"Lavori",B24=2,G24&gt;Procedura!$B$39),"CUC OLTRE FRAZIONE AFFIDAMENTO",IF(F24="Da definire","DEFINIRE DESTINAZIONE",IF(AND(F24&lt;&gt;"Interna",OR(I24&gt;0,S24&gt;0)),"ASSEGNATARI SU VOCE NON INTERNA",IF(AND(F24="Interna",M24&gt;0,ABS(S24-1)&gt;0.000001),"RIPARTO INTERNO NON PARI A 100%","COERENTE")))))))))</f>
        <v>DEFINIRE DESTINAZIONE</v>
      </c>
      <c r="S24" s="10">
        <f>SUMIFS(Riparto!$E$6:$E$105,Riparto!$A$6:$A$105,A24)</f>
        <v>0</v>
      </c>
      <c r="T24">
        <f t="shared" si="5"/>
        <v>1</v>
      </c>
    </row>
    <row r="25" spans="1:20" ht="24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20" ht="24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20" ht="24" customHeight="1">
      <c r="A27" s="2" t="s">
        <v>222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20" ht="24" customHeight="1">
      <c r="A28" s="2" t="s">
        <v>223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20" ht="24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20" ht="24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</sheetData>
  <conditionalFormatting sqref="R6:R24">
    <cfRule type="expression" dxfId="2" priority="1">
      <formula>AND(R6&lt;&gt;"",R6&lt;&gt;"COERENTE")</formula>
    </cfRule>
  </conditionalFormatting>
  <dataValidations count="2">
    <dataValidation type="list" sqref="F6:F24" xr:uid="{00000000-0002-0000-0300-000000000000}">
      <formula1>"Da definire,Interna,Esterna,Non prevista,Non attribuita,Priva attestazione"</formula1>
    </dataValidation>
    <dataValidation type="decimal" sqref="G6:I24" xr:uid="{00000000-0002-0000-0300-000001000000}">
      <formula1>0</formula1>
      <formula2>1</formula2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H108"/>
  <sheetViews>
    <sheetView showGridLines="0" workbookViewId="0">
      <pane xSplit="3" ySplit="5" topLeftCell="D6" activePane="bottomRight" state="frozen"/>
      <selection pane="topRight"/>
      <selection pane="bottomLeft"/>
      <selection pane="bottomRight" activeCell="D6" sqref="D6"/>
    </sheetView>
  </sheetViews>
  <sheetFormatPr defaultRowHeight="14.25"/>
  <cols>
    <col min="1" max="2" width="12" customWidth="1"/>
    <col min="3" max="3" width="20" customWidth="1"/>
    <col min="4" max="13" width="19" customWidth="1"/>
    <col min="14" max="14" width="54" customWidth="1"/>
    <col min="15" max="25" width="21" customWidth="1"/>
    <col min="26" max="26" width="52" customWidth="1"/>
    <col min="27" max="33" width="20" customWidth="1"/>
  </cols>
  <sheetData>
    <row r="1" spans="1:34" ht="24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4" ht="24" customHeight="1">
      <c r="A2" s="3" t="s">
        <v>224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4" ht="24" customHeight="1">
      <c r="A3" s="4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24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1:34" ht="44.1" customHeight="1">
      <c r="A5" s="9" t="s">
        <v>225</v>
      </c>
      <c r="B5" s="9" t="s">
        <v>226</v>
      </c>
      <c r="C5" s="9" t="s">
        <v>227</v>
      </c>
      <c r="D5" s="9" t="s">
        <v>228</v>
      </c>
      <c r="E5" s="9" t="s">
        <v>229</v>
      </c>
      <c r="F5" s="9" t="s">
        <v>230</v>
      </c>
      <c r="G5" s="9" t="s">
        <v>231</v>
      </c>
      <c r="H5" s="9" t="s">
        <v>232</v>
      </c>
      <c r="I5" s="9" t="s">
        <v>233</v>
      </c>
      <c r="J5" s="9" t="s">
        <v>234</v>
      </c>
      <c r="K5" s="9" t="s">
        <v>235</v>
      </c>
      <c r="L5" s="9" t="s">
        <v>236</v>
      </c>
      <c r="M5" s="9" t="s">
        <v>237</v>
      </c>
      <c r="N5" s="9" t="s">
        <v>238</v>
      </c>
      <c r="O5" s="9" t="s">
        <v>239</v>
      </c>
      <c r="P5" s="9" t="s">
        <v>240</v>
      </c>
      <c r="Q5" s="9" t="s">
        <v>241</v>
      </c>
      <c r="R5" s="9" t="s">
        <v>242</v>
      </c>
      <c r="S5" s="9" t="s">
        <v>243</v>
      </c>
      <c r="T5" s="9" t="s">
        <v>244</v>
      </c>
      <c r="U5" s="9" t="s">
        <v>245</v>
      </c>
      <c r="V5" s="9" t="s">
        <v>246</v>
      </c>
      <c r="W5" s="9" t="s">
        <v>247</v>
      </c>
      <c r="X5" s="9" t="s">
        <v>248</v>
      </c>
      <c r="Y5" s="9" t="s">
        <v>156</v>
      </c>
      <c r="Z5" s="9" t="s">
        <v>249</v>
      </c>
      <c r="AA5" s="9" t="s">
        <v>250</v>
      </c>
      <c r="AB5" s="9" t="s">
        <v>186</v>
      </c>
      <c r="AC5" s="9" t="s">
        <v>251</v>
      </c>
      <c r="AD5" s="9" t="s">
        <v>252</v>
      </c>
      <c r="AE5" s="9" t="s">
        <v>253</v>
      </c>
      <c r="AF5" s="9" t="s">
        <v>254</v>
      </c>
      <c r="AG5" s="9" t="s">
        <v>255</v>
      </c>
      <c r="AH5" t="s">
        <v>161</v>
      </c>
    </row>
    <row r="6" spans="1:34" ht="24" customHeight="1">
      <c r="A6" s="5"/>
      <c r="B6" s="5"/>
      <c r="C6" s="5"/>
      <c r="D6" s="8"/>
      <c r="E6" s="10">
        <f>IF(OR(A6="",B6=""),0,IF(ISNUMBER(D6),D6,IF(OR(AND(Procedura!$B$10="Lavori",AC6=10),AND(Procedura!$B$10&lt;&gt;"Lavori",AC6=2)),IF(Procedura!$B$29="Si",IF(C6="RUP",IF(Procedura!$B$10="Lavori",20%,IF(Voci!$M$7&gt;0,(Voci!$J$7*(1-Procedura!$B$39)+(Voci!$J$7*Procedura!$B$39-Voci!$L$7)*20%)/Voci!$M$7,0)),IF(C6="Responsabile fase",IF(Procedura!$B$10="Lavori",80%,IF(Voci!$M$7&gt;0,(Voci!$J$7*Procedura!$B$39-Voci!$L$7)*80%/Voci!$M$7,0)),0)),IF(C6="RUP",1,0)),IF(IF(Procedura!$B$10="Lavori",OR(AC6=3,AC6=13),AC6=5),IF(C6="RUP",1,0),IF(IF(Procedura!$B$10="Lavori",OR(AC6=4,AC6=11,AC6=14),OR(AC6=3,AC6=6)),IF(AND(AD6&gt;0,AE6&gt;0),IF(OR(C6="Supporto",C6="Responsabile fase"),60%/AD6,IF(C6="Altro",40%/AE6,0)),IF(AF6&gt;0,1/AF6,0)),IF(AF6&gt;0,1/AF6,0))))))</f>
        <v>0</v>
      </c>
      <c r="F6" s="11">
        <f>IF(A6="",0,INDEX(Voci!$M$6:$M$24,MATCH(A6,Voci!$A$6:$A$24,0))*E6)</f>
        <v>0</v>
      </c>
      <c r="G6" s="11">
        <f>IF(A6="",0,INDEX(Voci!$O$6:$O$24,MATCH(A6,Voci!$A$6:$A$24,0))*E6)</f>
        <v>0</v>
      </c>
      <c r="H6" s="5" t="s">
        <v>60</v>
      </c>
      <c r="I6" s="5" t="s">
        <v>67</v>
      </c>
      <c r="J6" s="8">
        <v>0</v>
      </c>
      <c r="K6" s="8">
        <v>0</v>
      </c>
      <c r="L6" s="8">
        <v>0</v>
      </c>
      <c r="M6" s="8">
        <v>0</v>
      </c>
      <c r="N6" s="5"/>
      <c r="O6" s="10">
        <f t="shared" ref="O6:O37" si="0">IF(J6&lt;=0,0,IF(J6&lt;=1/3,20%,IF(J6&lt;=1/2,40%,IF(J6&lt;=2/3,60%,100%))))</f>
        <v>0</v>
      </c>
      <c r="P6" s="10">
        <f t="shared" ref="P6:P37" si="1">IF(K6&lt;=0,0,IF(K6&lt;=30%,20%,IF(K6&lt;=40%,40%,60%)))</f>
        <v>0</v>
      </c>
      <c r="Q6" s="10">
        <f t="shared" ref="Q6:Q37" si="2">IF(L6&lt;=0,0,IF(L6&lt;=25%,30%,IF(L6&lt;=40%,50%,60%)))</f>
        <v>0</v>
      </c>
      <c r="R6" s="10">
        <f t="shared" ref="R6:R37" si="3">MIN(100%,SUM(M6,O6:Q6))</f>
        <v>0</v>
      </c>
      <c r="S6" s="11">
        <f t="shared" ref="S6:S37" si="4">IF(I6="Si",G6,IF(H6="Si",G6*R6,0))</f>
        <v>0</v>
      </c>
      <c r="T6" s="11">
        <f t="shared" ref="T6:T37" si="5">IF(AND(H6="No",I6&lt;&gt;"Si"),G6,0)</f>
        <v>0</v>
      </c>
      <c r="U6" s="11">
        <f t="shared" ref="U6:U37" si="6">IF(AND(H6="Si",I6&lt;&gt;"Si"),G6-S6,0)</f>
        <v>0</v>
      </c>
      <c r="V6" s="10">
        <f>IF(B6="",0,INDEX(Personale!$F$6:$F$25,MATCH(B6,Personale!$A$6:$A$25,0)))</f>
        <v>0</v>
      </c>
      <c r="W6" s="11">
        <f t="shared" ref="W6:W37" si="7">U6/(1+V6)</f>
        <v>0</v>
      </c>
      <c r="X6" s="11">
        <f t="shared" ref="X6:X37" si="8">U6-W6</f>
        <v>0</v>
      </c>
      <c r="Y6" s="11">
        <f>IF(B6="",0,W6*INDEX(Personale!$G$6:$G$25,MATCH(B6,Personale!$A$6:$A$25,0)))</f>
        <v>0</v>
      </c>
      <c r="Z6" s="2" t="str">
        <f>IF(AND(A6&lt;&gt;"",Procedura!$B$10&lt;&gt;"Lavori",AC6=7,B6=Procedura!$B$28),"DEC DEVE ESSERE DIVERSO DAL RUP",IF(AND(ISNUMBER(D6),OR(OR(AND(Procedura!$B$10="Lavori",AC6=10),AND(Procedura!$B$10&lt;&gt;"Lavori",AC6=2)),IF(Procedura!$B$10="Lavori",OR(AC6=3,AC6=13),AC6=5)),ABS(E6-IF(IF(Procedura!$B$10="Lavori",OR(AC6=3,AC6=13),AC6=5),1,IF(Procedura!$B$29="No",1,IF(C6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FISSO",IF(AND(A6="",B6=""),"",IF(OR(A6="",B6="",C6=""),"COMPLETARE VOCE PERSONA RUOLO",IF(COUNTIFS($AA$6:$AA$105,AA6)&gt;1,"PERSONA RIPETUTA NELLA VOCE",IF(INDEX(Voci!$F$6:$F$24,MATCH(A6,Voci!$A$6:$A$24,0))&lt;&gt;"Interna","VOCE NON INTERNA",IF(OR(AND(C6="RUP",B6&lt;&gt;Procedura!$B$28),AND(C6="Responsabile fase",OR(Procedura!$B$29&lt;&gt;"Si",B6&lt;&gt;Procedura!$B$30)),AND(OR(OR(AND(Procedura!$B$10="Lavori",AC6=10),AND(Procedura!$B$10&lt;&gt;"Lavori",AC6=2)),IF(Procedura!$B$10="Lavori",OR(AC6=3,AC6=13),AC6=5)),NOT(OR(C6="RUP",AND(OR(AND(Procedura!$B$10="Lavori",AC6=10),AND(Procedura!$B$10&lt;&gt;"Lavori",AC6=2)),C6="Responsabile fase",Procedura!$B$29="Si")))),AND(IF(Procedura!$B$10="Lavori",OR(AC6=4,AC6=11,AC6=14),OR(AC6=3,AC6=6)),NOT(OR(C6="Supporto",C6="Altro",C6="Responsabile fase")))),"RUOLO NON COERENTE",IF(AND(IF(Procedura!$B$10="Lavori",OR(AC6=4,AC6=11,AC6=14),OR(AC6=3,AC6=6)),B6=Procedura!$B$28),"RUP E COLLABORAZIONE INCOMPATIBILI",IF(AND(AG6&gt;0,AG6&lt;&gt;AF6),"PESI MANUALI SOLO SU ALCUNE RIGHE",IF(AND(J6&gt;0,NOT(AND(Procedura!$B$10="Lavori",OR(AC6=5,AC6=6)))),"RITARDO PROGETTAZIONE NON PERTINENTE",IF(AND(M6&gt;0,M6&lt;5%),"CARENZE INFERIORI AL 5%",IF(AND(OR(J6&gt;0,K6&gt;0,L6&gt;0,M6&gt;0,I6="Si"),N6=""),"MOTIVARE ESCLUSIONE O RIDUZIONE",IF(AND(G6&gt;0,H6="Da verificare"),"ATTESTAZIONE DA ACQUISIRE",IF(AND(G6&gt;0,H6="Si",N6=""),"INDICARE ATTI ATTIVITA","COERENTE"))))))))))))))</f>
        <v/>
      </c>
      <c r="AA6" s="2" t="str">
        <f t="shared" ref="AA6:AA37" si="9">IF(OR(A6="",B6=""),"",A6&amp;"/"&amp;B6)</f>
        <v/>
      </c>
      <c r="AB6" s="2" t="str">
        <f>IF(A6="","",INDEX(Voci!$C$6:$C$24,MATCH(A6,Voci!$A$6:$A$24,0)))</f>
        <v/>
      </c>
      <c r="AC6" s="2">
        <f>IF(A6="",0,INDEX(Voci!$B$6:$B$24,MATCH(A6,Voci!$A$6:$A$24,0)))</f>
        <v>0</v>
      </c>
      <c r="AD6" s="2">
        <f t="shared" ref="AD6:AD37" si="10">COUNTIFS($A$6:$A$105,A6,$C$6:$C$105,"Supporto")+COUNTIFS($A$6:$A$105,A6,$C$6:$C$105,"Responsabile fase")</f>
        <v>0</v>
      </c>
      <c r="AE6" s="2">
        <f t="shared" ref="AE6:AE37" si="11">COUNTIFS($A$6:$A$105,A6,$C$6:$C$105,"Altro")</f>
        <v>0</v>
      </c>
      <c r="AF6" s="2">
        <f t="shared" ref="AF6:AF37" si="12">COUNTIFS($A$6:$A$105,A6,$B$6:$B$105,"&lt;&gt;")</f>
        <v>0</v>
      </c>
      <c r="AG6" s="2">
        <f t="shared" ref="AG6:AG37" si="13">COUNTIFS($A$6:$A$105,A6,$D$6:$D$105,"&gt;=0",$D$6:$D$105,"&lt;&gt;")</f>
        <v>0</v>
      </c>
      <c r="AH6">
        <f t="shared" ref="AH6:AH37" si="14">IF(OR(Z6="",Z6="COERENTE"),0,1)</f>
        <v>0</v>
      </c>
    </row>
    <row r="7" spans="1:34" ht="24" customHeight="1">
      <c r="A7" s="5"/>
      <c r="B7" s="5"/>
      <c r="C7" s="5"/>
      <c r="D7" s="8"/>
      <c r="E7" s="10">
        <f>IF(OR(A7="",B7=""),0,IF(ISNUMBER(D7),D7,IF(OR(AND(Procedura!$B$10="Lavori",AC7=10),AND(Procedura!$B$10&lt;&gt;"Lavori",AC7=2)),IF(Procedura!$B$29="Si",IF(C7="RUP",IF(Procedura!$B$10="Lavori",20%,IF(Voci!$M$7&gt;0,(Voci!$J$7*(1-Procedura!$B$39)+(Voci!$J$7*Procedura!$B$39-Voci!$L$7)*20%)/Voci!$M$7,0)),IF(C7="Responsabile fase",IF(Procedura!$B$10="Lavori",80%,IF(Voci!$M$7&gt;0,(Voci!$J$7*Procedura!$B$39-Voci!$L$7)*80%/Voci!$M$7,0)),0)),IF(C7="RUP",1,0)),IF(IF(Procedura!$B$10="Lavori",OR(AC7=3,AC7=13),AC7=5),IF(C7="RUP",1,0),IF(IF(Procedura!$B$10="Lavori",OR(AC7=4,AC7=11,AC7=14),OR(AC7=3,AC7=6)),IF(AND(AD7&gt;0,AE7&gt;0),IF(OR(C7="Supporto",C7="Responsabile fase"),60%/AD7,IF(C7="Altro",40%/AE7,0)),IF(AF7&gt;0,1/AF7,0)),IF(AF7&gt;0,1/AF7,0))))))</f>
        <v>0</v>
      </c>
      <c r="F7" s="11">
        <f>IF(A7="",0,INDEX(Voci!$M$6:$M$24,MATCH(A7,Voci!$A$6:$A$24,0))*E7)</f>
        <v>0</v>
      </c>
      <c r="G7" s="11">
        <f>IF(A7="",0,INDEX(Voci!$O$6:$O$24,MATCH(A7,Voci!$A$6:$A$24,0))*E7)</f>
        <v>0</v>
      </c>
      <c r="H7" s="5" t="s">
        <v>60</v>
      </c>
      <c r="I7" s="5" t="s">
        <v>67</v>
      </c>
      <c r="J7" s="8">
        <v>0</v>
      </c>
      <c r="K7" s="8">
        <v>0</v>
      </c>
      <c r="L7" s="8">
        <v>0</v>
      </c>
      <c r="M7" s="8">
        <v>0</v>
      </c>
      <c r="N7" s="5"/>
      <c r="O7" s="10">
        <f t="shared" si="0"/>
        <v>0</v>
      </c>
      <c r="P7" s="10">
        <f t="shared" si="1"/>
        <v>0</v>
      </c>
      <c r="Q7" s="10">
        <f t="shared" si="2"/>
        <v>0</v>
      </c>
      <c r="R7" s="10">
        <f t="shared" si="3"/>
        <v>0</v>
      </c>
      <c r="S7" s="11">
        <f t="shared" si="4"/>
        <v>0</v>
      </c>
      <c r="T7" s="11">
        <f t="shared" si="5"/>
        <v>0</v>
      </c>
      <c r="U7" s="11">
        <f t="shared" si="6"/>
        <v>0</v>
      </c>
      <c r="V7" s="10">
        <f>IF(B7="",0,INDEX(Personale!$F$6:$F$25,MATCH(B7,Personale!$A$6:$A$25,0)))</f>
        <v>0</v>
      </c>
      <c r="W7" s="11">
        <f t="shared" si="7"/>
        <v>0</v>
      </c>
      <c r="X7" s="11">
        <f t="shared" si="8"/>
        <v>0</v>
      </c>
      <c r="Y7" s="11">
        <f>IF(B7="",0,W7*INDEX(Personale!$G$6:$G$25,MATCH(B7,Personale!$A$6:$A$25,0)))</f>
        <v>0</v>
      </c>
      <c r="Z7" s="2" t="str">
        <f>IF(AND(A7&lt;&gt;"",Procedura!$B$10&lt;&gt;"Lavori",AC7=7,B7=Procedura!$B$28),"DEC DEVE ESSERE DIVERSO DAL RUP",IF(AND(ISNUMBER(D7),OR(OR(AND(Procedura!$B$10="Lavori",AC7=10),AND(Procedura!$B$10&lt;&gt;"Lavori",AC7=2)),IF(Procedura!$B$10="Lavori",OR(AC7=3,AC7=13),AC7=5)),ABS(E7-IF(IF(Procedura!$B$10="Lavori",OR(AC7=3,AC7=13),AC7=5),1,IF(Procedura!$B$29="No",1,IF(C7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FISSO",IF(AND(A7="",B7=""),"",IF(OR(A7="",B7="",C7=""),"COMPLETARE VOCE PERSONA RUOLO",IF(COUNTIFS($AA$6:$AA$105,AA7)&gt;1,"PERSONA RIPETUTA NELLA VOCE",IF(INDEX(Voci!$F$6:$F$24,MATCH(A7,Voci!$A$6:$A$24,0))&lt;&gt;"Interna","VOCE NON INTERNA",IF(OR(AND(C7="RUP",B7&lt;&gt;Procedura!$B$28),AND(C7="Responsabile fase",OR(Procedura!$B$29&lt;&gt;"Si",B7&lt;&gt;Procedura!$B$30)),AND(OR(OR(AND(Procedura!$B$10="Lavori",AC7=10),AND(Procedura!$B$10&lt;&gt;"Lavori",AC7=2)),IF(Procedura!$B$10="Lavori",OR(AC7=3,AC7=13),AC7=5)),NOT(OR(C7="RUP",AND(OR(AND(Procedura!$B$10="Lavori",AC7=10),AND(Procedura!$B$10&lt;&gt;"Lavori",AC7=2)),C7="Responsabile fase",Procedura!$B$29="Si")))),AND(IF(Procedura!$B$10="Lavori",OR(AC7=4,AC7=11,AC7=14),OR(AC7=3,AC7=6)),NOT(OR(C7="Supporto",C7="Altro",C7="Responsabile fase")))),"RUOLO NON COERENTE",IF(AND(IF(Procedura!$B$10="Lavori",OR(AC7=4,AC7=11,AC7=14),OR(AC7=3,AC7=6)),B7=Procedura!$B$28),"RUP E COLLABORAZIONE INCOMPATIBILI",IF(AND(AG7&gt;0,AG7&lt;&gt;AF7),"PESI MANUALI SOLO SU ALCUNE RIGHE",IF(AND(J7&gt;0,NOT(AND(Procedura!$B$10="Lavori",OR(AC7=5,AC7=6)))),"RITARDO PROGETTAZIONE NON PERTINENTE",IF(AND(M7&gt;0,M7&lt;5%),"CARENZE INFERIORI AL 5%",IF(AND(OR(J7&gt;0,K7&gt;0,L7&gt;0,M7&gt;0,I7="Si"),N7=""),"MOTIVARE ESCLUSIONE O RIDUZIONE",IF(AND(G7&gt;0,H7="Da verificare"),"ATTESTAZIONE DA ACQUISIRE",IF(AND(G7&gt;0,H7="Si",N7=""),"INDICARE ATTI ATTIVITA","COERENTE"))))))))))))))</f>
        <v/>
      </c>
      <c r="AA7" s="2" t="str">
        <f t="shared" si="9"/>
        <v/>
      </c>
      <c r="AB7" s="2" t="str">
        <f>IF(A7="","",INDEX(Voci!$C$6:$C$24,MATCH(A7,Voci!$A$6:$A$24,0)))</f>
        <v/>
      </c>
      <c r="AC7" s="2">
        <f>IF(A7="",0,INDEX(Voci!$B$6:$B$24,MATCH(A7,Voci!$A$6:$A$24,0)))</f>
        <v>0</v>
      </c>
      <c r="AD7" s="2">
        <f t="shared" si="10"/>
        <v>0</v>
      </c>
      <c r="AE7" s="2">
        <f t="shared" si="11"/>
        <v>0</v>
      </c>
      <c r="AF7" s="2">
        <f t="shared" si="12"/>
        <v>0</v>
      </c>
      <c r="AG7" s="2">
        <f t="shared" si="13"/>
        <v>0</v>
      </c>
      <c r="AH7">
        <f t="shared" si="14"/>
        <v>0</v>
      </c>
    </row>
    <row r="8" spans="1:34" ht="24" customHeight="1">
      <c r="A8" s="5"/>
      <c r="B8" s="5"/>
      <c r="C8" s="5"/>
      <c r="D8" s="8"/>
      <c r="E8" s="10">
        <f>IF(OR(A8="",B8=""),0,IF(ISNUMBER(D8),D8,IF(OR(AND(Procedura!$B$10="Lavori",AC8=10),AND(Procedura!$B$10&lt;&gt;"Lavori",AC8=2)),IF(Procedura!$B$29="Si",IF(C8="RUP",IF(Procedura!$B$10="Lavori",20%,IF(Voci!$M$7&gt;0,(Voci!$J$7*(1-Procedura!$B$39)+(Voci!$J$7*Procedura!$B$39-Voci!$L$7)*20%)/Voci!$M$7,0)),IF(C8="Responsabile fase",IF(Procedura!$B$10="Lavori",80%,IF(Voci!$M$7&gt;0,(Voci!$J$7*Procedura!$B$39-Voci!$L$7)*80%/Voci!$M$7,0)),0)),IF(C8="RUP",1,0)),IF(IF(Procedura!$B$10="Lavori",OR(AC8=3,AC8=13),AC8=5),IF(C8="RUP",1,0),IF(IF(Procedura!$B$10="Lavori",OR(AC8=4,AC8=11,AC8=14),OR(AC8=3,AC8=6)),IF(AND(AD8&gt;0,AE8&gt;0),IF(OR(C8="Supporto",C8="Responsabile fase"),60%/AD8,IF(C8="Altro",40%/AE8,0)),IF(AF8&gt;0,1/AF8,0)),IF(AF8&gt;0,1/AF8,0))))))</f>
        <v>0</v>
      </c>
      <c r="F8" s="11">
        <f>IF(A8="",0,INDEX(Voci!$M$6:$M$24,MATCH(A8,Voci!$A$6:$A$24,0))*E8)</f>
        <v>0</v>
      </c>
      <c r="G8" s="11">
        <f>IF(A8="",0,INDEX(Voci!$O$6:$O$24,MATCH(A8,Voci!$A$6:$A$24,0))*E8)</f>
        <v>0</v>
      </c>
      <c r="H8" s="5" t="s">
        <v>60</v>
      </c>
      <c r="I8" s="5" t="s">
        <v>67</v>
      </c>
      <c r="J8" s="8">
        <v>0</v>
      </c>
      <c r="K8" s="8">
        <v>0</v>
      </c>
      <c r="L8" s="8">
        <v>0</v>
      </c>
      <c r="M8" s="8">
        <v>0</v>
      </c>
      <c r="N8" s="5"/>
      <c r="O8" s="10">
        <f t="shared" si="0"/>
        <v>0</v>
      </c>
      <c r="P8" s="10">
        <f t="shared" si="1"/>
        <v>0</v>
      </c>
      <c r="Q8" s="10">
        <f t="shared" si="2"/>
        <v>0</v>
      </c>
      <c r="R8" s="10">
        <f t="shared" si="3"/>
        <v>0</v>
      </c>
      <c r="S8" s="11">
        <f t="shared" si="4"/>
        <v>0</v>
      </c>
      <c r="T8" s="11">
        <f t="shared" si="5"/>
        <v>0</v>
      </c>
      <c r="U8" s="11">
        <f t="shared" si="6"/>
        <v>0</v>
      </c>
      <c r="V8" s="10">
        <f>IF(B8="",0,INDEX(Personale!$F$6:$F$25,MATCH(B8,Personale!$A$6:$A$25,0)))</f>
        <v>0</v>
      </c>
      <c r="W8" s="11">
        <f t="shared" si="7"/>
        <v>0</v>
      </c>
      <c r="X8" s="11">
        <f t="shared" si="8"/>
        <v>0</v>
      </c>
      <c r="Y8" s="11">
        <f>IF(B8="",0,W8*INDEX(Personale!$G$6:$G$25,MATCH(B8,Personale!$A$6:$A$25,0)))</f>
        <v>0</v>
      </c>
      <c r="Z8" s="2" t="str">
        <f>IF(AND(A8&lt;&gt;"",Procedura!$B$10&lt;&gt;"Lavori",AC8=7,B8=Procedura!$B$28),"DEC DEVE ESSERE DIVERSO DAL RUP",IF(AND(ISNUMBER(D8),OR(OR(AND(Procedura!$B$10="Lavori",AC8=10),AND(Procedura!$B$10&lt;&gt;"Lavori",AC8=2)),IF(Procedura!$B$10="Lavori",OR(AC8=3,AC8=13),AC8=5)),ABS(E8-IF(IF(Procedura!$B$10="Lavori",OR(AC8=3,AC8=13),AC8=5),1,IF(Procedura!$B$29="No",1,IF(C8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FISSO",IF(AND(A8="",B8=""),"",IF(OR(A8="",B8="",C8=""),"COMPLETARE VOCE PERSONA RUOLO",IF(COUNTIFS($AA$6:$AA$105,AA8)&gt;1,"PERSONA RIPETUTA NELLA VOCE",IF(INDEX(Voci!$F$6:$F$24,MATCH(A8,Voci!$A$6:$A$24,0))&lt;&gt;"Interna","VOCE NON INTERNA",IF(OR(AND(C8="RUP",B8&lt;&gt;Procedura!$B$28),AND(C8="Responsabile fase",OR(Procedura!$B$29&lt;&gt;"Si",B8&lt;&gt;Procedura!$B$30)),AND(OR(OR(AND(Procedura!$B$10="Lavori",AC8=10),AND(Procedura!$B$10&lt;&gt;"Lavori",AC8=2)),IF(Procedura!$B$10="Lavori",OR(AC8=3,AC8=13),AC8=5)),NOT(OR(C8="RUP",AND(OR(AND(Procedura!$B$10="Lavori",AC8=10),AND(Procedura!$B$10&lt;&gt;"Lavori",AC8=2)),C8="Responsabile fase",Procedura!$B$29="Si")))),AND(IF(Procedura!$B$10="Lavori",OR(AC8=4,AC8=11,AC8=14),OR(AC8=3,AC8=6)),NOT(OR(C8="Supporto",C8="Altro",C8="Responsabile fase")))),"RUOLO NON COERENTE",IF(AND(IF(Procedura!$B$10="Lavori",OR(AC8=4,AC8=11,AC8=14),OR(AC8=3,AC8=6)),B8=Procedura!$B$28),"RUP E COLLABORAZIONE INCOMPATIBILI",IF(AND(AG8&gt;0,AG8&lt;&gt;AF8),"PESI MANUALI SOLO SU ALCUNE RIGHE",IF(AND(J8&gt;0,NOT(AND(Procedura!$B$10="Lavori",OR(AC8=5,AC8=6)))),"RITARDO PROGETTAZIONE NON PERTINENTE",IF(AND(M8&gt;0,M8&lt;5%),"CARENZE INFERIORI AL 5%",IF(AND(OR(J8&gt;0,K8&gt;0,L8&gt;0,M8&gt;0,I8="Si"),N8=""),"MOTIVARE ESCLUSIONE O RIDUZIONE",IF(AND(G8&gt;0,H8="Da verificare"),"ATTESTAZIONE DA ACQUISIRE",IF(AND(G8&gt;0,H8="Si",N8=""),"INDICARE ATTI ATTIVITA","COERENTE"))))))))))))))</f>
        <v/>
      </c>
      <c r="AA8" s="2" t="str">
        <f t="shared" si="9"/>
        <v/>
      </c>
      <c r="AB8" s="2" t="str">
        <f>IF(A8="","",INDEX(Voci!$C$6:$C$24,MATCH(A8,Voci!$A$6:$A$24,0)))</f>
        <v/>
      </c>
      <c r="AC8" s="2">
        <f>IF(A8="",0,INDEX(Voci!$B$6:$B$24,MATCH(A8,Voci!$A$6:$A$24,0)))</f>
        <v>0</v>
      </c>
      <c r="AD8" s="2">
        <f t="shared" si="10"/>
        <v>0</v>
      </c>
      <c r="AE8" s="2">
        <f t="shared" si="11"/>
        <v>0</v>
      </c>
      <c r="AF8" s="2">
        <f t="shared" si="12"/>
        <v>0</v>
      </c>
      <c r="AG8" s="2">
        <f t="shared" si="13"/>
        <v>0</v>
      </c>
      <c r="AH8">
        <f t="shared" si="14"/>
        <v>0</v>
      </c>
    </row>
    <row r="9" spans="1:34" ht="24" customHeight="1">
      <c r="A9" s="5"/>
      <c r="B9" s="5"/>
      <c r="C9" s="5"/>
      <c r="D9" s="8"/>
      <c r="E9" s="10">
        <f>IF(OR(A9="",B9=""),0,IF(ISNUMBER(D9),D9,IF(OR(AND(Procedura!$B$10="Lavori",AC9=10),AND(Procedura!$B$10&lt;&gt;"Lavori",AC9=2)),IF(Procedura!$B$29="Si",IF(C9="RUP",IF(Procedura!$B$10="Lavori",20%,IF(Voci!$M$7&gt;0,(Voci!$J$7*(1-Procedura!$B$39)+(Voci!$J$7*Procedura!$B$39-Voci!$L$7)*20%)/Voci!$M$7,0)),IF(C9="Responsabile fase",IF(Procedura!$B$10="Lavori",80%,IF(Voci!$M$7&gt;0,(Voci!$J$7*Procedura!$B$39-Voci!$L$7)*80%/Voci!$M$7,0)),0)),IF(C9="RUP",1,0)),IF(IF(Procedura!$B$10="Lavori",OR(AC9=3,AC9=13),AC9=5),IF(C9="RUP",1,0),IF(IF(Procedura!$B$10="Lavori",OR(AC9=4,AC9=11,AC9=14),OR(AC9=3,AC9=6)),IF(AND(AD9&gt;0,AE9&gt;0),IF(OR(C9="Supporto",C9="Responsabile fase"),60%/AD9,IF(C9="Altro",40%/AE9,0)),IF(AF9&gt;0,1/AF9,0)),IF(AF9&gt;0,1/AF9,0))))))</f>
        <v>0</v>
      </c>
      <c r="F9" s="11">
        <f>IF(A9="",0,INDEX(Voci!$M$6:$M$24,MATCH(A9,Voci!$A$6:$A$24,0))*E9)</f>
        <v>0</v>
      </c>
      <c r="G9" s="11">
        <f>IF(A9="",0,INDEX(Voci!$O$6:$O$24,MATCH(A9,Voci!$A$6:$A$24,0))*E9)</f>
        <v>0</v>
      </c>
      <c r="H9" s="5" t="s">
        <v>60</v>
      </c>
      <c r="I9" s="5" t="s">
        <v>67</v>
      </c>
      <c r="J9" s="8">
        <v>0</v>
      </c>
      <c r="K9" s="8">
        <v>0</v>
      </c>
      <c r="L9" s="8">
        <v>0</v>
      </c>
      <c r="M9" s="8">
        <v>0</v>
      </c>
      <c r="N9" s="5"/>
      <c r="O9" s="10">
        <f t="shared" si="0"/>
        <v>0</v>
      </c>
      <c r="P9" s="10">
        <f t="shared" si="1"/>
        <v>0</v>
      </c>
      <c r="Q9" s="10">
        <f t="shared" si="2"/>
        <v>0</v>
      </c>
      <c r="R9" s="10">
        <f t="shared" si="3"/>
        <v>0</v>
      </c>
      <c r="S9" s="11">
        <f t="shared" si="4"/>
        <v>0</v>
      </c>
      <c r="T9" s="11">
        <f t="shared" si="5"/>
        <v>0</v>
      </c>
      <c r="U9" s="11">
        <f t="shared" si="6"/>
        <v>0</v>
      </c>
      <c r="V9" s="10">
        <f>IF(B9="",0,INDEX(Personale!$F$6:$F$25,MATCH(B9,Personale!$A$6:$A$25,0)))</f>
        <v>0</v>
      </c>
      <c r="W9" s="11">
        <f t="shared" si="7"/>
        <v>0</v>
      </c>
      <c r="X9" s="11">
        <f t="shared" si="8"/>
        <v>0</v>
      </c>
      <c r="Y9" s="11">
        <f>IF(B9="",0,W9*INDEX(Personale!$G$6:$G$25,MATCH(B9,Personale!$A$6:$A$25,0)))</f>
        <v>0</v>
      </c>
      <c r="Z9" s="2" t="str">
        <f>IF(AND(A9&lt;&gt;"",Procedura!$B$10&lt;&gt;"Lavori",AC9=7,B9=Procedura!$B$28),"DEC DEVE ESSERE DIVERSO DAL RUP",IF(AND(ISNUMBER(D9),OR(OR(AND(Procedura!$B$10="Lavori",AC9=10),AND(Procedura!$B$10&lt;&gt;"Lavori",AC9=2)),IF(Procedura!$B$10="Lavori",OR(AC9=3,AC9=13),AC9=5)),ABS(E9-IF(IF(Procedura!$B$10="Lavori",OR(AC9=3,AC9=13),AC9=5),1,IF(Procedura!$B$29="No",1,IF(C9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FISSO",IF(AND(A9="",B9=""),"",IF(OR(A9="",B9="",C9=""),"COMPLETARE VOCE PERSONA RUOLO",IF(COUNTIFS($AA$6:$AA$105,AA9)&gt;1,"PERSONA RIPETUTA NELLA VOCE",IF(INDEX(Voci!$F$6:$F$24,MATCH(A9,Voci!$A$6:$A$24,0))&lt;&gt;"Interna","VOCE NON INTERNA",IF(OR(AND(C9="RUP",B9&lt;&gt;Procedura!$B$28),AND(C9="Responsabile fase",OR(Procedura!$B$29&lt;&gt;"Si",B9&lt;&gt;Procedura!$B$30)),AND(OR(OR(AND(Procedura!$B$10="Lavori",AC9=10),AND(Procedura!$B$10&lt;&gt;"Lavori",AC9=2)),IF(Procedura!$B$10="Lavori",OR(AC9=3,AC9=13),AC9=5)),NOT(OR(C9="RUP",AND(OR(AND(Procedura!$B$10="Lavori",AC9=10),AND(Procedura!$B$10&lt;&gt;"Lavori",AC9=2)),C9="Responsabile fase",Procedura!$B$29="Si")))),AND(IF(Procedura!$B$10="Lavori",OR(AC9=4,AC9=11,AC9=14),OR(AC9=3,AC9=6)),NOT(OR(C9="Supporto",C9="Altro",C9="Responsabile fase")))),"RUOLO NON COERENTE",IF(AND(IF(Procedura!$B$10="Lavori",OR(AC9=4,AC9=11,AC9=14),OR(AC9=3,AC9=6)),B9=Procedura!$B$28),"RUP E COLLABORAZIONE INCOMPATIBILI",IF(AND(AG9&gt;0,AG9&lt;&gt;AF9),"PESI MANUALI SOLO SU ALCUNE RIGHE",IF(AND(J9&gt;0,NOT(AND(Procedura!$B$10="Lavori",OR(AC9=5,AC9=6)))),"RITARDO PROGETTAZIONE NON PERTINENTE",IF(AND(M9&gt;0,M9&lt;5%),"CARENZE INFERIORI AL 5%",IF(AND(OR(J9&gt;0,K9&gt;0,L9&gt;0,M9&gt;0,I9="Si"),N9=""),"MOTIVARE ESCLUSIONE O RIDUZIONE",IF(AND(G9&gt;0,H9="Da verificare"),"ATTESTAZIONE DA ACQUISIRE",IF(AND(G9&gt;0,H9="Si",N9=""),"INDICARE ATTI ATTIVITA","COERENTE"))))))))))))))</f>
        <v/>
      </c>
      <c r="AA9" s="2" t="str">
        <f t="shared" si="9"/>
        <v/>
      </c>
      <c r="AB9" s="2" t="str">
        <f>IF(A9="","",INDEX(Voci!$C$6:$C$24,MATCH(A9,Voci!$A$6:$A$24,0)))</f>
        <v/>
      </c>
      <c r="AC9" s="2">
        <f>IF(A9="",0,INDEX(Voci!$B$6:$B$24,MATCH(A9,Voci!$A$6:$A$24,0)))</f>
        <v>0</v>
      </c>
      <c r="AD9" s="2">
        <f t="shared" si="10"/>
        <v>0</v>
      </c>
      <c r="AE9" s="2">
        <f t="shared" si="11"/>
        <v>0</v>
      </c>
      <c r="AF9" s="2">
        <f t="shared" si="12"/>
        <v>0</v>
      </c>
      <c r="AG9" s="2">
        <f t="shared" si="13"/>
        <v>0</v>
      </c>
      <c r="AH9">
        <f t="shared" si="14"/>
        <v>0</v>
      </c>
    </row>
    <row r="10" spans="1:34" ht="24" customHeight="1">
      <c r="A10" s="5"/>
      <c r="B10" s="5"/>
      <c r="C10" s="5"/>
      <c r="D10" s="8"/>
      <c r="E10" s="10">
        <f>IF(OR(A10="",B10=""),0,IF(ISNUMBER(D10),D10,IF(OR(AND(Procedura!$B$10="Lavori",AC10=10),AND(Procedura!$B$10&lt;&gt;"Lavori",AC10=2)),IF(Procedura!$B$29="Si",IF(C10="RUP",IF(Procedura!$B$10="Lavori",20%,IF(Voci!$M$7&gt;0,(Voci!$J$7*(1-Procedura!$B$39)+(Voci!$J$7*Procedura!$B$39-Voci!$L$7)*20%)/Voci!$M$7,0)),IF(C10="Responsabile fase",IF(Procedura!$B$10="Lavori",80%,IF(Voci!$M$7&gt;0,(Voci!$J$7*Procedura!$B$39-Voci!$L$7)*80%/Voci!$M$7,0)),0)),IF(C10="RUP",1,0)),IF(IF(Procedura!$B$10="Lavori",OR(AC10=3,AC10=13),AC10=5),IF(C10="RUP",1,0),IF(IF(Procedura!$B$10="Lavori",OR(AC10=4,AC10=11,AC10=14),OR(AC10=3,AC10=6)),IF(AND(AD10&gt;0,AE10&gt;0),IF(OR(C10="Supporto",C10="Responsabile fase"),60%/AD10,IF(C10="Altro",40%/AE10,0)),IF(AF10&gt;0,1/AF10,0)),IF(AF10&gt;0,1/AF10,0))))))</f>
        <v>0</v>
      </c>
      <c r="F10" s="11">
        <f>IF(A10="",0,INDEX(Voci!$M$6:$M$24,MATCH(A10,Voci!$A$6:$A$24,0))*E10)</f>
        <v>0</v>
      </c>
      <c r="G10" s="11">
        <f>IF(A10="",0,INDEX(Voci!$O$6:$O$24,MATCH(A10,Voci!$A$6:$A$24,0))*E10)</f>
        <v>0</v>
      </c>
      <c r="H10" s="5" t="s">
        <v>60</v>
      </c>
      <c r="I10" s="5" t="s">
        <v>67</v>
      </c>
      <c r="J10" s="8">
        <v>0</v>
      </c>
      <c r="K10" s="8">
        <v>0</v>
      </c>
      <c r="L10" s="8">
        <v>0</v>
      </c>
      <c r="M10" s="8">
        <v>0</v>
      </c>
      <c r="N10" s="5"/>
      <c r="O10" s="10">
        <f t="shared" si="0"/>
        <v>0</v>
      </c>
      <c r="P10" s="10">
        <f t="shared" si="1"/>
        <v>0</v>
      </c>
      <c r="Q10" s="10">
        <f t="shared" si="2"/>
        <v>0</v>
      </c>
      <c r="R10" s="10">
        <f t="shared" si="3"/>
        <v>0</v>
      </c>
      <c r="S10" s="11">
        <f t="shared" si="4"/>
        <v>0</v>
      </c>
      <c r="T10" s="11">
        <f t="shared" si="5"/>
        <v>0</v>
      </c>
      <c r="U10" s="11">
        <f t="shared" si="6"/>
        <v>0</v>
      </c>
      <c r="V10" s="10">
        <f>IF(B10="",0,INDEX(Personale!$F$6:$F$25,MATCH(B10,Personale!$A$6:$A$25,0)))</f>
        <v>0</v>
      </c>
      <c r="W10" s="11">
        <f t="shared" si="7"/>
        <v>0</v>
      </c>
      <c r="X10" s="11">
        <f t="shared" si="8"/>
        <v>0</v>
      </c>
      <c r="Y10" s="11">
        <f>IF(B10="",0,W10*INDEX(Personale!$G$6:$G$25,MATCH(B10,Personale!$A$6:$A$25,0)))</f>
        <v>0</v>
      </c>
      <c r="Z10" s="2" t="str">
        <f>IF(AND(A10&lt;&gt;"",Procedura!$B$10&lt;&gt;"Lavori",AC10=7,B10=Procedura!$B$28),"DEC DEVE ESSERE DIVERSO DAL RUP",IF(AND(ISNUMBER(D10),OR(OR(AND(Procedura!$B$10="Lavori",AC10=10),AND(Procedura!$B$10&lt;&gt;"Lavori",AC10=2)),IF(Procedura!$B$10="Lavori",OR(AC10=3,AC10=13),AC10=5)),ABS(E10-IF(IF(Procedura!$B$10="Lavori",OR(AC10=3,AC10=13),AC10=5),1,IF(Procedura!$B$29="No",1,IF(C10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FISSO",IF(AND(A10="",B10=""),"",IF(OR(A10="",B10="",C10=""),"COMPLETARE VOCE PERSONA RUOLO",IF(COUNTIFS($AA$6:$AA$105,AA10)&gt;1,"PERSONA RIPETUTA NELLA VOCE",IF(INDEX(Voci!$F$6:$F$24,MATCH(A10,Voci!$A$6:$A$24,0))&lt;&gt;"Interna","VOCE NON INTERNA",IF(OR(AND(C10="RUP",B10&lt;&gt;Procedura!$B$28),AND(C10="Responsabile fase",OR(Procedura!$B$29&lt;&gt;"Si",B10&lt;&gt;Procedura!$B$30)),AND(OR(OR(AND(Procedura!$B$10="Lavori",AC10=10),AND(Procedura!$B$10&lt;&gt;"Lavori",AC10=2)),IF(Procedura!$B$10="Lavori",OR(AC10=3,AC10=13),AC10=5)),NOT(OR(C10="RUP",AND(OR(AND(Procedura!$B$10="Lavori",AC10=10),AND(Procedura!$B$10&lt;&gt;"Lavori",AC10=2)),C10="Responsabile fase",Procedura!$B$29="Si")))),AND(IF(Procedura!$B$10="Lavori",OR(AC10=4,AC10=11,AC10=14),OR(AC10=3,AC10=6)),NOT(OR(C10="Supporto",C10="Altro",C10="Responsabile fase")))),"RUOLO NON COERENTE",IF(AND(IF(Procedura!$B$10="Lavori",OR(AC10=4,AC10=11,AC10=14),OR(AC10=3,AC10=6)),B10=Procedura!$B$28),"RUP E COLLABORAZIONE INCOMPATIBILI",IF(AND(AG10&gt;0,AG10&lt;&gt;AF10),"PESI MANUALI SOLO SU ALCUNE RIGHE",IF(AND(J10&gt;0,NOT(AND(Procedura!$B$10="Lavori",OR(AC10=5,AC10=6)))),"RITARDO PROGETTAZIONE NON PERTINENTE",IF(AND(M10&gt;0,M10&lt;5%),"CARENZE INFERIORI AL 5%",IF(AND(OR(J10&gt;0,K10&gt;0,L10&gt;0,M10&gt;0,I10="Si"),N10=""),"MOTIVARE ESCLUSIONE O RIDUZIONE",IF(AND(G10&gt;0,H10="Da verificare"),"ATTESTAZIONE DA ACQUISIRE",IF(AND(G10&gt;0,H10="Si",N10=""),"INDICARE ATTI ATTIVITA","COERENTE"))))))))))))))</f>
        <v/>
      </c>
      <c r="AA10" s="2" t="str">
        <f t="shared" si="9"/>
        <v/>
      </c>
      <c r="AB10" s="2" t="str">
        <f>IF(A10="","",INDEX(Voci!$C$6:$C$24,MATCH(A10,Voci!$A$6:$A$24,0)))</f>
        <v/>
      </c>
      <c r="AC10" s="2">
        <f>IF(A10="",0,INDEX(Voci!$B$6:$B$24,MATCH(A10,Voci!$A$6:$A$24,0)))</f>
        <v>0</v>
      </c>
      <c r="AD10" s="2">
        <f t="shared" si="10"/>
        <v>0</v>
      </c>
      <c r="AE10" s="2">
        <f t="shared" si="11"/>
        <v>0</v>
      </c>
      <c r="AF10" s="2">
        <f t="shared" si="12"/>
        <v>0</v>
      </c>
      <c r="AG10" s="2">
        <f t="shared" si="13"/>
        <v>0</v>
      </c>
      <c r="AH10">
        <f t="shared" si="14"/>
        <v>0</v>
      </c>
    </row>
    <row r="11" spans="1:34" ht="24" customHeight="1">
      <c r="A11" s="5"/>
      <c r="B11" s="5"/>
      <c r="C11" s="5"/>
      <c r="D11" s="8"/>
      <c r="E11" s="10">
        <f>IF(OR(A11="",B11=""),0,IF(ISNUMBER(D11),D11,IF(OR(AND(Procedura!$B$10="Lavori",AC11=10),AND(Procedura!$B$10&lt;&gt;"Lavori",AC11=2)),IF(Procedura!$B$29="Si",IF(C11="RUP",IF(Procedura!$B$10="Lavori",20%,IF(Voci!$M$7&gt;0,(Voci!$J$7*(1-Procedura!$B$39)+(Voci!$J$7*Procedura!$B$39-Voci!$L$7)*20%)/Voci!$M$7,0)),IF(C11="Responsabile fase",IF(Procedura!$B$10="Lavori",80%,IF(Voci!$M$7&gt;0,(Voci!$J$7*Procedura!$B$39-Voci!$L$7)*80%/Voci!$M$7,0)),0)),IF(C11="RUP",1,0)),IF(IF(Procedura!$B$10="Lavori",OR(AC11=3,AC11=13),AC11=5),IF(C11="RUP",1,0),IF(IF(Procedura!$B$10="Lavori",OR(AC11=4,AC11=11,AC11=14),OR(AC11=3,AC11=6)),IF(AND(AD11&gt;0,AE11&gt;0),IF(OR(C11="Supporto",C11="Responsabile fase"),60%/AD11,IF(C11="Altro",40%/AE11,0)),IF(AF11&gt;0,1/AF11,0)),IF(AF11&gt;0,1/AF11,0))))))</f>
        <v>0</v>
      </c>
      <c r="F11" s="11">
        <f>IF(A11="",0,INDEX(Voci!$M$6:$M$24,MATCH(A11,Voci!$A$6:$A$24,0))*E11)</f>
        <v>0</v>
      </c>
      <c r="G11" s="11">
        <f>IF(A11="",0,INDEX(Voci!$O$6:$O$24,MATCH(A11,Voci!$A$6:$A$24,0))*E11)</f>
        <v>0</v>
      </c>
      <c r="H11" s="5" t="s">
        <v>60</v>
      </c>
      <c r="I11" s="5" t="s">
        <v>67</v>
      </c>
      <c r="J11" s="8">
        <v>0</v>
      </c>
      <c r="K11" s="8">
        <v>0</v>
      </c>
      <c r="L11" s="8">
        <v>0</v>
      </c>
      <c r="M11" s="8">
        <v>0</v>
      </c>
      <c r="N11" s="5"/>
      <c r="O11" s="10">
        <f t="shared" si="0"/>
        <v>0</v>
      </c>
      <c r="P11" s="10">
        <f t="shared" si="1"/>
        <v>0</v>
      </c>
      <c r="Q11" s="10">
        <f t="shared" si="2"/>
        <v>0</v>
      </c>
      <c r="R11" s="10">
        <f t="shared" si="3"/>
        <v>0</v>
      </c>
      <c r="S11" s="11">
        <f t="shared" si="4"/>
        <v>0</v>
      </c>
      <c r="T11" s="11">
        <f t="shared" si="5"/>
        <v>0</v>
      </c>
      <c r="U11" s="11">
        <f t="shared" si="6"/>
        <v>0</v>
      </c>
      <c r="V11" s="10">
        <f>IF(B11="",0,INDEX(Personale!$F$6:$F$25,MATCH(B11,Personale!$A$6:$A$25,0)))</f>
        <v>0</v>
      </c>
      <c r="W11" s="11">
        <f t="shared" si="7"/>
        <v>0</v>
      </c>
      <c r="X11" s="11">
        <f t="shared" si="8"/>
        <v>0</v>
      </c>
      <c r="Y11" s="11">
        <f>IF(B11="",0,W11*INDEX(Personale!$G$6:$G$25,MATCH(B11,Personale!$A$6:$A$25,0)))</f>
        <v>0</v>
      </c>
      <c r="Z11" s="2" t="str">
        <f>IF(AND(A11&lt;&gt;"",Procedura!$B$10&lt;&gt;"Lavori",AC11=7,B11=Procedura!$B$28),"DEC DEVE ESSERE DIVERSO DAL RUP",IF(AND(ISNUMBER(D11),OR(OR(AND(Procedura!$B$10="Lavori",AC11=10),AND(Procedura!$B$10&lt;&gt;"Lavori",AC11=2)),IF(Procedura!$B$10="Lavori",OR(AC11=3,AC11=13),AC11=5)),ABS(E11-IF(IF(Procedura!$B$10="Lavori",OR(AC11=3,AC11=13),AC11=5),1,IF(Procedura!$B$29="No",1,IF(C11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FISSO",IF(AND(A11="",B11=""),"",IF(OR(A11="",B11="",C11=""),"COMPLETARE VOCE PERSONA RUOLO",IF(COUNTIFS($AA$6:$AA$105,AA11)&gt;1,"PERSONA RIPETUTA NELLA VOCE",IF(INDEX(Voci!$F$6:$F$24,MATCH(A11,Voci!$A$6:$A$24,0))&lt;&gt;"Interna","VOCE NON INTERNA",IF(OR(AND(C11="RUP",B11&lt;&gt;Procedura!$B$28),AND(C11="Responsabile fase",OR(Procedura!$B$29&lt;&gt;"Si",B11&lt;&gt;Procedura!$B$30)),AND(OR(OR(AND(Procedura!$B$10="Lavori",AC11=10),AND(Procedura!$B$10&lt;&gt;"Lavori",AC11=2)),IF(Procedura!$B$10="Lavori",OR(AC11=3,AC11=13),AC11=5)),NOT(OR(C11="RUP",AND(OR(AND(Procedura!$B$10="Lavori",AC11=10),AND(Procedura!$B$10&lt;&gt;"Lavori",AC11=2)),C11="Responsabile fase",Procedura!$B$29="Si")))),AND(IF(Procedura!$B$10="Lavori",OR(AC11=4,AC11=11,AC11=14),OR(AC11=3,AC11=6)),NOT(OR(C11="Supporto",C11="Altro",C11="Responsabile fase")))),"RUOLO NON COERENTE",IF(AND(IF(Procedura!$B$10="Lavori",OR(AC11=4,AC11=11,AC11=14),OR(AC11=3,AC11=6)),B11=Procedura!$B$28),"RUP E COLLABORAZIONE INCOMPATIBILI",IF(AND(AG11&gt;0,AG11&lt;&gt;AF11),"PESI MANUALI SOLO SU ALCUNE RIGHE",IF(AND(J11&gt;0,NOT(AND(Procedura!$B$10="Lavori",OR(AC11=5,AC11=6)))),"RITARDO PROGETTAZIONE NON PERTINENTE",IF(AND(M11&gt;0,M11&lt;5%),"CARENZE INFERIORI AL 5%",IF(AND(OR(J11&gt;0,K11&gt;0,L11&gt;0,M11&gt;0,I11="Si"),N11=""),"MOTIVARE ESCLUSIONE O RIDUZIONE",IF(AND(G11&gt;0,H11="Da verificare"),"ATTESTAZIONE DA ACQUISIRE",IF(AND(G11&gt;0,H11="Si",N11=""),"INDICARE ATTI ATTIVITA","COERENTE"))))))))))))))</f>
        <v/>
      </c>
      <c r="AA11" s="2" t="str">
        <f t="shared" si="9"/>
        <v/>
      </c>
      <c r="AB11" s="2" t="str">
        <f>IF(A11="","",INDEX(Voci!$C$6:$C$24,MATCH(A11,Voci!$A$6:$A$24,0)))</f>
        <v/>
      </c>
      <c r="AC11" s="2">
        <f>IF(A11="",0,INDEX(Voci!$B$6:$B$24,MATCH(A11,Voci!$A$6:$A$24,0)))</f>
        <v>0</v>
      </c>
      <c r="AD11" s="2">
        <f t="shared" si="10"/>
        <v>0</v>
      </c>
      <c r="AE11" s="2">
        <f t="shared" si="11"/>
        <v>0</v>
      </c>
      <c r="AF11" s="2">
        <f t="shared" si="12"/>
        <v>0</v>
      </c>
      <c r="AG11" s="2">
        <f t="shared" si="13"/>
        <v>0</v>
      </c>
      <c r="AH11">
        <f t="shared" si="14"/>
        <v>0</v>
      </c>
    </row>
    <row r="12" spans="1:34" ht="24" customHeight="1">
      <c r="A12" s="5"/>
      <c r="B12" s="5"/>
      <c r="C12" s="5"/>
      <c r="D12" s="8"/>
      <c r="E12" s="10">
        <f>IF(OR(A12="",B12=""),0,IF(ISNUMBER(D12),D12,IF(OR(AND(Procedura!$B$10="Lavori",AC12=10),AND(Procedura!$B$10&lt;&gt;"Lavori",AC12=2)),IF(Procedura!$B$29="Si",IF(C12="RUP",IF(Procedura!$B$10="Lavori",20%,IF(Voci!$M$7&gt;0,(Voci!$J$7*(1-Procedura!$B$39)+(Voci!$J$7*Procedura!$B$39-Voci!$L$7)*20%)/Voci!$M$7,0)),IF(C12="Responsabile fase",IF(Procedura!$B$10="Lavori",80%,IF(Voci!$M$7&gt;0,(Voci!$J$7*Procedura!$B$39-Voci!$L$7)*80%/Voci!$M$7,0)),0)),IF(C12="RUP",1,0)),IF(IF(Procedura!$B$10="Lavori",OR(AC12=3,AC12=13),AC12=5),IF(C12="RUP",1,0),IF(IF(Procedura!$B$10="Lavori",OR(AC12=4,AC12=11,AC12=14),OR(AC12=3,AC12=6)),IF(AND(AD12&gt;0,AE12&gt;0),IF(OR(C12="Supporto",C12="Responsabile fase"),60%/AD12,IF(C12="Altro",40%/AE12,0)),IF(AF12&gt;0,1/AF12,0)),IF(AF12&gt;0,1/AF12,0))))))</f>
        <v>0</v>
      </c>
      <c r="F12" s="11">
        <f>IF(A12="",0,INDEX(Voci!$M$6:$M$24,MATCH(A12,Voci!$A$6:$A$24,0))*E12)</f>
        <v>0</v>
      </c>
      <c r="G12" s="11">
        <f>IF(A12="",0,INDEX(Voci!$O$6:$O$24,MATCH(A12,Voci!$A$6:$A$24,0))*E12)</f>
        <v>0</v>
      </c>
      <c r="H12" s="5" t="s">
        <v>60</v>
      </c>
      <c r="I12" s="5" t="s">
        <v>67</v>
      </c>
      <c r="J12" s="8">
        <v>0</v>
      </c>
      <c r="K12" s="8">
        <v>0</v>
      </c>
      <c r="L12" s="8">
        <v>0</v>
      </c>
      <c r="M12" s="8">
        <v>0</v>
      </c>
      <c r="N12" s="5"/>
      <c r="O12" s="10">
        <f t="shared" si="0"/>
        <v>0</v>
      </c>
      <c r="P12" s="10">
        <f t="shared" si="1"/>
        <v>0</v>
      </c>
      <c r="Q12" s="10">
        <f t="shared" si="2"/>
        <v>0</v>
      </c>
      <c r="R12" s="10">
        <f t="shared" si="3"/>
        <v>0</v>
      </c>
      <c r="S12" s="11">
        <f t="shared" si="4"/>
        <v>0</v>
      </c>
      <c r="T12" s="11">
        <f t="shared" si="5"/>
        <v>0</v>
      </c>
      <c r="U12" s="11">
        <f t="shared" si="6"/>
        <v>0</v>
      </c>
      <c r="V12" s="10">
        <f>IF(B12="",0,INDEX(Personale!$F$6:$F$25,MATCH(B12,Personale!$A$6:$A$25,0)))</f>
        <v>0</v>
      </c>
      <c r="W12" s="11">
        <f t="shared" si="7"/>
        <v>0</v>
      </c>
      <c r="X12" s="11">
        <f t="shared" si="8"/>
        <v>0</v>
      </c>
      <c r="Y12" s="11">
        <f>IF(B12="",0,W12*INDEX(Personale!$G$6:$G$25,MATCH(B12,Personale!$A$6:$A$25,0)))</f>
        <v>0</v>
      </c>
      <c r="Z12" s="2" t="str">
        <f>IF(AND(A12&lt;&gt;"",Procedura!$B$10&lt;&gt;"Lavori",AC12=7,B12=Procedura!$B$28),"DEC DEVE ESSERE DIVERSO DAL RUP",IF(AND(ISNUMBER(D12),OR(OR(AND(Procedura!$B$10="Lavori",AC12=10),AND(Procedura!$B$10&lt;&gt;"Lavori",AC12=2)),IF(Procedura!$B$10="Lavori",OR(AC12=3,AC12=13),AC12=5)),ABS(E12-IF(IF(Procedura!$B$10="Lavori",OR(AC12=3,AC12=13),AC12=5),1,IF(Procedura!$B$29="No",1,IF(C12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FISSO",IF(AND(A12="",B12=""),"",IF(OR(A12="",B12="",C12=""),"COMPLETARE VOCE PERSONA RUOLO",IF(COUNTIFS($AA$6:$AA$105,AA12)&gt;1,"PERSONA RIPETUTA NELLA VOCE",IF(INDEX(Voci!$F$6:$F$24,MATCH(A12,Voci!$A$6:$A$24,0))&lt;&gt;"Interna","VOCE NON INTERNA",IF(OR(AND(C12="RUP",B12&lt;&gt;Procedura!$B$28),AND(C12="Responsabile fase",OR(Procedura!$B$29&lt;&gt;"Si",B12&lt;&gt;Procedura!$B$30)),AND(OR(OR(AND(Procedura!$B$10="Lavori",AC12=10),AND(Procedura!$B$10&lt;&gt;"Lavori",AC12=2)),IF(Procedura!$B$10="Lavori",OR(AC12=3,AC12=13),AC12=5)),NOT(OR(C12="RUP",AND(OR(AND(Procedura!$B$10="Lavori",AC12=10),AND(Procedura!$B$10&lt;&gt;"Lavori",AC12=2)),C12="Responsabile fase",Procedura!$B$29="Si")))),AND(IF(Procedura!$B$10="Lavori",OR(AC12=4,AC12=11,AC12=14),OR(AC12=3,AC12=6)),NOT(OR(C12="Supporto",C12="Altro",C12="Responsabile fase")))),"RUOLO NON COERENTE",IF(AND(IF(Procedura!$B$10="Lavori",OR(AC12=4,AC12=11,AC12=14),OR(AC12=3,AC12=6)),B12=Procedura!$B$28),"RUP E COLLABORAZIONE INCOMPATIBILI",IF(AND(AG12&gt;0,AG12&lt;&gt;AF12),"PESI MANUALI SOLO SU ALCUNE RIGHE",IF(AND(J12&gt;0,NOT(AND(Procedura!$B$10="Lavori",OR(AC12=5,AC12=6)))),"RITARDO PROGETTAZIONE NON PERTINENTE",IF(AND(M12&gt;0,M12&lt;5%),"CARENZE INFERIORI AL 5%",IF(AND(OR(J12&gt;0,K12&gt;0,L12&gt;0,M12&gt;0,I12="Si"),N12=""),"MOTIVARE ESCLUSIONE O RIDUZIONE",IF(AND(G12&gt;0,H12="Da verificare"),"ATTESTAZIONE DA ACQUISIRE",IF(AND(G12&gt;0,H12="Si",N12=""),"INDICARE ATTI ATTIVITA","COERENTE"))))))))))))))</f>
        <v/>
      </c>
      <c r="AA12" s="2" t="str">
        <f t="shared" si="9"/>
        <v/>
      </c>
      <c r="AB12" s="2" t="str">
        <f>IF(A12="","",INDEX(Voci!$C$6:$C$24,MATCH(A12,Voci!$A$6:$A$24,0)))</f>
        <v/>
      </c>
      <c r="AC12" s="2">
        <f>IF(A12="",0,INDEX(Voci!$B$6:$B$24,MATCH(A12,Voci!$A$6:$A$24,0)))</f>
        <v>0</v>
      </c>
      <c r="AD12" s="2">
        <f t="shared" si="10"/>
        <v>0</v>
      </c>
      <c r="AE12" s="2">
        <f t="shared" si="11"/>
        <v>0</v>
      </c>
      <c r="AF12" s="2">
        <f t="shared" si="12"/>
        <v>0</v>
      </c>
      <c r="AG12" s="2">
        <f t="shared" si="13"/>
        <v>0</v>
      </c>
      <c r="AH12">
        <f t="shared" si="14"/>
        <v>0</v>
      </c>
    </row>
    <row r="13" spans="1:34" ht="24" customHeight="1">
      <c r="A13" s="5"/>
      <c r="B13" s="5"/>
      <c r="C13" s="5"/>
      <c r="D13" s="8"/>
      <c r="E13" s="10">
        <f>IF(OR(A13="",B13=""),0,IF(ISNUMBER(D13),D13,IF(OR(AND(Procedura!$B$10="Lavori",AC13=10),AND(Procedura!$B$10&lt;&gt;"Lavori",AC13=2)),IF(Procedura!$B$29="Si",IF(C13="RUP",IF(Procedura!$B$10="Lavori",20%,IF(Voci!$M$7&gt;0,(Voci!$J$7*(1-Procedura!$B$39)+(Voci!$J$7*Procedura!$B$39-Voci!$L$7)*20%)/Voci!$M$7,0)),IF(C13="Responsabile fase",IF(Procedura!$B$10="Lavori",80%,IF(Voci!$M$7&gt;0,(Voci!$J$7*Procedura!$B$39-Voci!$L$7)*80%/Voci!$M$7,0)),0)),IF(C13="RUP",1,0)),IF(IF(Procedura!$B$10="Lavori",OR(AC13=3,AC13=13),AC13=5),IF(C13="RUP",1,0),IF(IF(Procedura!$B$10="Lavori",OR(AC13=4,AC13=11,AC13=14),OR(AC13=3,AC13=6)),IF(AND(AD13&gt;0,AE13&gt;0),IF(OR(C13="Supporto",C13="Responsabile fase"),60%/AD13,IF(C13="Altro",40%/AE13,0)),IF(AF13&gt;0,1/AF13,0)),IF(AF13&gt;0,1/AF13,0))))))</f>
        <v>0</v>
      </c>
      <c r="F13" s="11">
        <f>IF(A13="",0,INDEX(Voci!$M$6:$M$24,MATCH(A13,Voci!$A$6:$A$24,0))*E13)</f>
        <v>0</v>
      </c>
      <c r="G13" s="11">
        <f>IF(A13="",0,INDEX(Voci!$O$6:$O$24,MATCH(A13,Voci!$A$6:$A$24,0))*E13)</f>
        <v>0</v>
      </c>
      <c r="H13" s="5" t="s">
        <v>60</v>
      </c>
      <c r="I13" s="5" t="s">
        <v>67</v>
      </c>
      <c r="J13" s="8">
        <v>0</v>
      </c>
      <c r="K13" s="8">
        <v>0</v>
      </c>
      <c r="L13" s="8">
        <v>0</v>
      </c>
      <c r="M13" s="8">
        <v>0</v>
      </c>
      <c r="N13" s="5"/>
      <c r="O13" s="10">
        <f t="shared" si="0"/>
        <v>0</v>
      </c>
      <c r="P13" s="10">
        <f t="shared" si="1"/>
        <v>0</v>
      </c>
      <c r="Q13" s="10">
        <f t="shared" si="2"/>
        <v>0</v>
      </c>
      <c r="R13" s="10">
        <f t="shared" si="3"/>
        <v>0</v>
      </c>
      <c r="S13" s="11">
        <f t="shared" si="4"/>
        <v>0</v>
      </c>
      <c r="T13" s="11">
        <f t="shared" si="5"/>
        <v>0</v>
      </c>
      <c r="U13" s="11">
        <f t="shared" si="6"/>
        <v>0</v>
      </c>
      <c r="V13" s="10">
        <f>IF(B13="",0,INDEX(Personale!$F$6:$F$25,MATCH(B13,Personale!$A$6:$A$25,0)))</f>
        <v>0</v>
      </c>
      <c r="W13" s="11">
        <f t="shared" si="7"/>
        <v>0</v>
      </c>
      <c r="X13" s="11">
        <f t="shared" si="8"/>
        <v>0</v>
      </c>
      <c r="Y13" s="11">
        <f>IF(B13="",0,W13*INDEX(Personale!$G$6:$G$25,MATCH(B13,Personale!$A$6:$A$25,0)))</f>
        <v>0</v>
      </c>
      <c r="Z13" s="2" t="str">
        <f>IF(AND(A13&lt;&gt;"",Procedura!$B$10&lt;&gt;"Lavori",AC13=7,B13=Procedura!$B$28),"DEC DEVE ESSERE DIVERSO DAL RUP",IF(AND(ISNUMBER(D13),OR(OR(AND(Procedura!$B$10="Lavori",AC13=10),AND(Procedura!$B$10&lt;&gt;"Lavori",AC13=2)),IF(Procedura!$B$10="Lavori",OR(AC13=3,AC13=13),AC13=5)),ABS(E13-IF(IF(Procedura!$B$10="Lavori",OR(AC13=3,AC13=13),AC13=5),1,IF(Procedura!$B$29="No",1,IF(C13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FISSO",IF(AND(A13="",B13=""),"",IF(OR(A13="",B13="",C13=""),"COMPLETARE VOCE PERSONA RUOLO",IF(COUNTIFS($AA$6:$AA$105,AA13)&gt;1,"PERSONA RIPETUTA NELLA VOCE",IF(INDEX(Voci!$F$6:$F$24,MATCH(A13,Voci!$A$6:$A$24,0))&lt;&gt;"Interna","VOCE NON INTERNA",IF(OR(AND(C13="RUP",B13&lt;&gt;Procedura!$B$28),AND(C13="Responsabile fase",OR(Procedura!$B$29&lt;&gt;"Si",B13&lt;&gt;Procedura!$B$30)),AND(OR(OR(AND(Procedura!$B$10="Lavori",AC13=10),AND(Procedura!$B$10&lt;&gt;"Lavori",AC13=2)),IF(Procedura!$B$10="Lavori",OR(AC13=3,AC13=13),AC13=5)),NOT(OR(C13="RUP",AND(OR(AND(Procedura!$B$10="Lavori",AC13=10),AND(Procedura!$B$10&lt;&gt;"Lavori",AC13=2)),C13="Responsabile fase",Procedura!$B$29="Si")))),AND(IF(Procedura!$B$10="Lavori",OR(AC13=4,AC13=11,AC13=14),OR(AC13=3,AC13=6)),NOT(OR(C13="Supporto",C13="Altro",C13="Responsabile fase")))),"RUOLO NON COERENTE",IF(AND(IF(Procedura!$B$10="Lavori",OR(AC13=4,AC13=11,AC13=14),OR(AC13=3,AC13=6)),B13=Procedura!$B$28),"RUP E COLLABORAZIONE INCOMPATIBILI",IF(AND(AG13&gt;0,AG13&lt;&gt;AF13),"PESI MANUALI SOLO SU ALCUNE RIGHE",IF(AND(J13&gt;0,NOT(AND(Procedura!$B$10="Lavori",OR(AC13=5,AC13=6)))),"RITARDO PROGETTAZIONE NON PERTINENTE",IF(AND(M13&gt;0,M13&lt;5%),"CARENZE INFERIORI AL 5%",IF(AND(OR(J13&gt;0,K13&gt;0,L13&gt;0,M13&gt;0,I13="Si"),N13=""),"MOTIVARE ESCLUSIONE O RIDUZIONE",IF(AND(G13&gt;0,H13="Da verificare"),"ATTESTAZIONE DA ACQUISIRE",IF(AND(G13&gt;0,H13="Si",N13=""),"INDICARE ATTI ATTIVITA","COERENTE"))))))))))))))</f>
        <v/>
      </c>
      <c r="AA13" s="2" t="str">
        <f t="shared" si="9"/>
        <v/>
      </c>
      <c r="AB13" s="2" t="str">
        <f>IF(A13="","",INDEX(Voci!$C$6:$C$24,MATCH(A13,Voci!$A$6:$A$24,0)))</f>
        <v/>
      </c>
      <c r="AC13" s="2">
        <f>IF(A13="",0,INDEX(Voci!$B$6:$B$24,MATCH(A13,Voci!$A$6:$A$24,0)))</f>
        <v>0</v>
      </c>
      <c r="AD13" s="2">
        <f t="shared" si="10"/>
        <v>0</v>
      </c>
      <c r="AE13" s="2">
        <f t="shared" si="11"/>
        <v>0</v>
      </c>
      <c r="AF13" s="2">
        <f t="shared" si="12"/>
        <v>0</v>
      </c>
      <c r="AG13" s="2">
        <f t="shared" si="13"/>
        <v>0</v>
      </c>
      <c r="AH13">
        <f t="shared" si="14"/>
        <v>0</v>
      </c>
    </row>
    <row r="14" spans="1:34" ht="24" customHeight="1">
      <c r="A14" s="5"/>
      <c r="B14" s="5"/>
      <c r="C14" s="5"/>
      <c r="D14" s="8"/>
      <c r="E14" s="10">
        <f>IF(OR(A14="",B14=""),0,IF(ISNUMBER(D14),D14,IF(OR(AND(Procedura!$B$10="Lavori",AC14=10),AND(Procedura!$B$10&lt;&gt;"Lavori",AC14=2)),IF(Procedura!$B$29="Si",IF(C14="RUP",IF(Procedura!$B$10="Lavori",20%,IF(Voci!$M$7&gt;0,(Voci!$J$7*(1-Procedura!$B$39)+(Voci!$J$7*Procedura!$B$39-Voci!$L$7)*20%)/Voci!$M$7,0)),IF(C14="Responsabile fase",IF(Procedura!$B$10="Lavori",80%,IF(Voci!$M$7&gt;0,(Voci!$J$7*Procedura!$B$39-Voci!$L$7)*80%/Voci!$M$7,0)),0)),IF(C14="RUP",1,0)),IF(IF(Procedura!$B$10="Lavori",OR(AC14=3,AC14=13),AC14=5),IF(C14="RUP",1,0),IF(IF(Procedura!$B$10="Lavori",OR(AC14=4,AC14=11,AC14=14),OR(AC14=3,AC14=6)),IF(AND(AD14&gt;0,AE14&gt;0),IF(OR(C14="Supporto",C14="Responsabile fase"),60%/AD14,IF(C14="Altro",40%/AE14,0)),IF(AF14&gt;0,1/AF14,0)),IF(AF14&gt;0,1/AF14,0))))))</f>
        <v>0</v>
      </c>
      <c r="F14" s="11">
        <f>IF(A14="",0,INDEX(Voci!$M$6:$M$24,MATCH(A14,Voci!$A$6:$A$24,0))*E14)</f>
        <v>0</v>
      </c>
      <c r="G14" s="11">
        <f>IF(A14="",0,INDEX(Voci!$O$6:$O$24,MATCH(A14,Voci!$A$6:$A$24,0))*E14)</f>
        <v>0</v>
      </c>
      <c r="H14" s="5" t="s">
        <v>60</v>
      </c>
      <c r="I14" s="5" t="s">
        <v>67</v>
      </c>
      <c r="J14" s="8">
        <v>0</v>
      </c>
      <c r="K14" s="8">
        <v>0</v>
      </c>
      <c r="L14" s="8">
        <v>0</v>
      </c>
      <c r="M14" s="8">
        <v>0</v>
      </c>
      <c r="N14" s="5"/>
      <c r="O14" s="10">
        <f t="shared" si="0"/>
        <v>0</v>
      </c>
      <c r="P14" s="10">
        <f t="shared" si="1"/>
        <v>0</v>
      </c>
      <c r="Q14" s="10">
        <f t="shared" si="2"/>
        <v>0</v>
      </c>
      <c r="R14" s="10">
        <f t="shared" si="3"/>
        <v>0</v>
      </c>
      <c r="S14" s="11">
        <f t="shared" si="4"/>
        <v>0</v>
      </c>
      <c r="T14" s="11">
        <f t="shared" si="5"/>
        <v>0</v>
      </c>
      <c r="U14" s="11">
        <f t="shared" si="6"/>
        <v>0</v>
      </c>
      <c r="V14" s="10">
        <f>IF(B14="",0,INDEX(Personale!$F$6:$F$25,MATCH(B14,Personale!$A$6:$A$25,0)))</f>
        <v>0</v>
      </c>
      <c r="W14" s="11">
        <f t="shared" si="7"/>
        <v>0</v>
      </c>
      <c r="X14" s="11">
        <f t="shared" si="8"/>
        <v>0</v>
      </c>
      <c r="Y14" s="11">
        <f>IF(B14="",0,W14*INDEX(Personale!$G$6:$G$25,MATCH(B14,Personale!$A$6:$A$25,0)))</f>
        <v>0</v>
      </c>
      <c r="Z14" s="2" t="str">
        <f>IF(AND(A14&lt;&gt;"",Procedura!$B$10&lt;&gt;"Lavori",AC14=7,B14=Procedura!$B$28),"DEC DEVE ESSERE DIVERSO DAL RUP",IF(AND(ISNUMBER(D14),OR(OR(AND(Procedura!$B$10="Lavori",AC14=10),AND(Procedura!$B$10&lt;&gt;"Lavori",AC14=2)),IF(Procedura!$B$10="Lavori",OR(AC14=3,AC14=13),AC14=5)),ABS(E14-IF(IF(Procedura!$B$10="Lavori",OR(AC14=3,AC14=13),AC14=5),1,IF(Procedura!$B$29="No",1,IF(C14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FISSO",IF(AND(A14="",B14=""),"",IF(OR(A14="",B14="",C14=""),"COMPLETARE VOCE PERSONA RUOLO",IF(COUNTIFS($AA$6:$AA$105,AA14)&gt;1,"PERSONA RIPETUTA NELLA VOCE",IF(INDEX(Voci!$F$6:$F$24,MATCH(A14,Voci!$A$6:$A$24,0))&lt;&gt;"Interna","VOCE NON INTERNA",IF(OR(AND(C14="RUP",B14&lt;&gt;Procedura!$B$28),AND(C14="Responsabile fase",OR(Procedura!$B$29&lt;&gt;"Si",B14&lt;&gt;Procedura!$B$30)),AND(OR(OR(AND(Procedura!$B$10="Lavori",AC14=10),AND(Procedura!$B$10&lt;&gt;"Lavori",AC14=2)),IF(Procedura!$B$10="Lavori",OR(AC14=3,AC14=13),AC14=5)),NOT(OR(C14="RUP",AND(OR(AND(Procedura!$B$10="Lavori",AC14=10),AND(Procedura!$B$10&lt;&gt;"Lavori",AC14=2)),C14="Responsabile fase",Procedura!$B$29="Si")))),AND(IF(Procedura!$B$10="Lavori",OR(AC14=4,AC14=11,AC14=14),OR(AC14=3,AC14=6)),NOT(OR(C14="Supporto",C14="Altro",C14="Responsabile fase")))),"RUOLO NON COERENTE",IF(AND(IF(Procedura!$B$10="Lavori",OR(AC14=4,AC14=11,AC14=14),OR(AC14=3,AC14=6)),B14=Procedura!$B$28),"RUP E COLLABORAZIONE INCOMPATIBILI",IF(AND(AG14&gt;0,AG14&lt;&gt;AF14),"PESI MANUALI SOLO SU ALCUNE RIGHE",IF(AND(J14&gt;0,NOT(AND(Procedura!$B$10="Lavori",OR(AC14=5,AC14=6)))),"RITARDO PROGETTAZIONE NON PERTINENTE",IF(AND(M14&gt;0,M14&lt;5%),"CARENZE INFERIORI AL 5%",IF(AND(OR(J14&gt;0,K14&gt;0,L14&gt;0,M14&gt;0,I14="Si"),N14=""),"MOTIVARE ESCLUSIONE O RIDUZIONE",IF(AND(G14&gt;0,H14="Da verificare"),"ATTESTAZIONE DA ACQUISIRE",IF(AND(G14&gt;0,H14="Si",N14=""),"INDICARE ATTI ATTIVITA","COERENTE"))))))))))))))</f>
        <v/>
      </c>
      <c r="AA14" s="2" t="str">
        <f t="shared" si="9"/>
        <v/>
      </c>
      <c r="AB14" s="2" t="str">
        <f>IF(A14="","",INDEX(Voci!$C$6:$C$24,MATCH(A14,Voci!$A$6:$A$24,0)))</f>
        <v/>
      </c>
      <c r="AC14" s="2">
        <f>IF(A14="",0,INDEX(Voci!$B$6:$B$24,MATCH(A14,Voci!$A$6:$A$24,0)))</f>
        <v>0</v>
      </c>
      <c r="AD14" s="2">
        <f t="shared" si="10"/>
        <v>0</v>
      </c>
      <c r="AE14" s="2">
        <f t="shared" si="11"/>
        <v>0</v>
      </c>
      <c r="AF14" s="2">
        <f t="shared" si="12"/>
        <v>0</v>
      </c>
      <c r="AG14" s="2">
        <f t="shared" si="13"/>
        <v>0</v>
      </c>
      <c r="AH14">
        <f t="shared" si="14"/>
        <v>0</v>
      </c>
    </row>
    <row r="15" spans="1:34" ht="24" customHeight="1">
      <c r="A15" s="5"/>
      <c r="B15" s="5"/>
      <c r="C15" s="5"/>
      <c r="D15" s="8"/>
      <c r="E15" s="10">
        <f>IF(OR(A15="",B15=""),0,IF(ISNUMBER(D15),D15,IF(OR(AND(Procedura!$B$10="Lavori",AC15=10),AND(Procedura!$B$10&lt;&gt;"Lavori",AC15=2)),IF(Procedura!$B$29="Si",IF(C15="RUP",IF(Procedura!$B$10="Lavori",20%,IF(Voci!$M$7&gt;0,(Voci!$J$7*(1-Procedura!$B$39)+(Voci!$J$7*Procedura!$B$39-Voci!$L$7)*20%)/Voci!$M$7,0)),IF(C15="Responsabile fase",IF(Procedura!$B$10="Lavori",80%,IF(Voci!$M$7&gt;0,(Voci!$J$7*Procedura!$B$39-Voci!$L$7)*80%/Voci!$M$7,0)),0)),IF(C15="RUP",1,0)),IF(IF(Procedura!$B$10="Lavori",OR(AC15=3,AC15=13),AC15=5),IF(C15="RUP",1,0),IF(IF(Procedura!$B$10="Lavori",OR(AC15=4,AC15=11,AC15=14),OR(AC15=3,AC15=6)),IF(AND(AD15&gt;0,AE15&gt;0),IF(OR(C15="Supporto",C15="Responsabile fase"),60%/AD15,IF(C15="Altro",40%/AE15,0)),IF(AF15&gt;0,1/AF15,0)),IF(AF15&gt;0,1/AF15,0))))))</f>
        <v>0</v>
      </c>
      <c r="F15" s="11">
        <f>IF(A15="",0,INDEX(Voci!$M$6:$M$24,MATCH(A15,Voci!$A$6:$A$24,0))*E15)</f>
        <v>0</v>
      </c>
      <c r="G15" s="11">
        <f>IF(A15="",0,INDEX(Voci!$O$6:$O$24,MATCH(A15,Voci!$A$6:$A$24,0))*E15)</f>
        <v>0</v>
      </c>
      <c r="H15" s="5" t="s">
        <v>60</v>
      </c>
      <c r="I15" s="5" t="s">
        <v>67</v>
      </c>
      <c r="J15" s="8">
        <v>0</v>
      </c>
      <c r="K15" s="8">
        <v>0</v>
      </c>
      <c r="L15" s="8">
        <v>0</v>
      </c>
      <c r="M15" s="8">
        <v>0</v>
      </c>
      <c r="N15" s="5"/>
      <c r="O15" s="10">
        <f t="shared" si="0"/>
        <v>0</v>
      </c>
      <c r="P15" s="10">
        <f t="shared" si="1"/>
        <v>0</v>
      </c>
      <c r="Q15" s="10">
        <f t="shared" si="2"/>
        <v>0</v>
      </c>
      <c r="R15" s="10">
        <f t="shared" si="3"/>
        <v>0</v>
      </c>
      <c r="S15" s="11">
        <f t="shared" si="4"/>
        <v>0</v>
      </c>
      <c r="T15" s="11">
        <f t="shared" si="5"/>
        <v>0</v>
      </c>
      <c r="U15" s="11">
        <f t="shared" si="6"/>
        <v>0</v>
      </c>
      <c r="V15" s="10">
        <f>IF(B15="",0,INDEX(Personale!$F$6:$F$25,MATCH(B15,Personale!$A$6:$A$25,0)))</f>
        <v>0</v>
      </c>
      <c r="W15" s="11">
        <f t="shared" si="7"/>
        <v>0</v>
      </c>
      <c r="X15" s="11">
        <f t="shared" si="8"/>
        <v>0</v>
      </c>
      <c r="Y15" s="11">
        <f>IF(B15="",0,W15*INDEX(Personale!$G$6:$G$25,MATCH(B15,Personale!$A$6:$A$25,0)))</f>
        <v>0</v>
      </c>
      <c r="Z15" s="2" t="str">
        <f>IF(AND(A15&lt;&gt;"",Procedura!$B$10&lt;&gt;"Lavori",AC15=7,B15=Procedura!$B$28),"DEC DEVE ESSERE DIVERSO DAL RUP",IF(AND(ISNUMBER(D15),OR(OR(AND(Procedura!$B$10="Lavori",AC15=10),AND(Procedura!$B$10&lt;&gt;"Lavori",AC15=2)),IF(Procedura!$B$10="Lavori",OR(AC15=3,AC15=13),AC15=5)),ABS(E15-IF(IF(Procedura!$B$10="Lavori",OR(AC15=3,AC15=13),AC15=5),1,IF(Procedura!$B$29="No",1,IF(C15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FISSO",IF(AND(A15="",B15=""),"",IF(OR(A15="",B15="",C15=""),"COMPLETARE VOCE PERSONA RUOLO",IF(COUNTIFS($AA$6:$AA$105,AA15)&gt;1,"PERSONA RIPETUTA NELLA VOCE",IF(INDEX(Voci!$F$6:$F$24,MATCH(A15,Voci!$A$6:$A$24,0))&lt;&gt;"Interna","VOCE NON INTERNA",IF(OR(AND(C15="RUP",B15&lt;&gt;Procedura!$B$28),AND(C15="Responsabile fase",OR(Procedura!$B$29&lt;&gt;"Si",B15&lt;&gt;Procedura!$B$30)),AND(OR(OR(AND(Procedura!$B$10="Lavori",AC15=10),AND(Procedura!$B$10&lt;&gt;"Lavori",AC15=2)),IF(Procedura!$B$10="Lavori",OR(AC15=3,AC15=13),AC15=5)),NOT(OR(C15="RUP",AND(OR(AND(Procedura!$B$10="Lavori",AC15=10),AND(Procedura!$B$10&lt;&gt;"Lavori",AC15=2)),C15="Responsabile fase",Procedura!$B$29="Si")))),AND(IF(Procedura!$B$10="Lavori",OR(AC15=4,AC15=11,AC15=14),OR(AC15=3,AC15=6)),NOT(OR(C15="Supporto",C15="Altro",C15="Responsabile fase")))),"RUOLO NON COERENTE",IF(AND(IF(Procedura!$B$10="Lavori",OR(AC15=4,AC15=11,AC15=14),OR(AC15=3,AC15=6)),B15=Procedura!$B$28),"RUP E COLLABORAZIONE INCOMPATIBILI",IF(AND(AG15&gt;0,AG15&lt;&gt;AF15),"PESI MANUALI SOLO SU ALCUNE RIGHE",IF(AND(J15&gt;0,NOT(AND(Procedura!$B$10="Lavori",OR(AC15=5,AC15=6)))),"RITARDO PROGETTAZIONE NON PERTINENTE",IF(AND(M15&gt;0,M15&lt;5%),"CARENZE INFERIORI AL 5%",IF(AND(OR(J15&gt;0,K15&gt;0,L15&gt;0,M15&gt;0,I15="Si"),N15=""),"MOTIVARE ESCLUSIONE O RIDUZIONE",IF(AND(G15&gt;0,H15="Da verificare"),"ATTESTAZIONE DA ACQUISIRE",IF(AND(G15&gt;0,H15="Si",N15=""),"INDICARE ATTI ATTIVITA","COERENTE"))))))))))))))</f>
        <v/>
      </c>
      <c r="AA15" s="2" t="str">
        <f t="shared" si="9"/>
        <v/>
      </c>
      <c r="AB15" s="2" t="str">
        <f>IF(A15="","",INDEX(Voci!$C$6:$C$24,MATCH(A15,Voci!$A$6:$A$24,0)))</f>
        <v/>
      </c>
      <c r="AC15" s="2">
        <f>IF(A15="",0,INDEX(Voci!$B$6:$B$24,MATCH(A15,Voci!$A$6:$A$24,0)))</f>
        <v>0</v>
      </c>
      <c r="AD15" s="2">
        <f t="shared" si="10"/>
        <v>0</v>
      </c>
      <c r="AE15" s="2">
        <f t="shared" si="11"/>
        <v>0</v>
      </c>
      <c r="AF15" s="2">
        <f t="shared" si="12"/>
        <v>0</v>
      </c>
      <c r="AG15" s="2">
        <f t="shared" si="13"/>
        <v>0</v>
      </c>
      <c r="AH15">
        <f t="shared" si="14"/>
        <v>0</v>
      </c>
    </row>
    <row r="16" spans="1:34" ht="24" customHeight="1">
      <c r="A16" s="5"/>
      <c r="B16" s="5"/>
      <c r="C16" s="5"/>
      <c r="D16" s="8"/>
      <c r="E16" s="10">
        <f>IF(OR(A16="",B16=""),0,IF(ISNUMBER(D16),D16,IF(OR(AND(Procedura!$B$10="Lavori",AC16=10),AND(Procedura!$B$10&lt;&gt;"Lavori",AC16=2)),IF(Procedura!$B$29="Si",IF(C16="RUP",IF(Procedura!$B$10="Lavori",20%,IF(Voci!$M$7&gt;0,(Voci!$J$7*(1-Procedura!$B$39)+(Voci!$J$7*Procedura!$B$39-Voci!$L$7)*20%)/Voci!$M$7,0)),IF(C16="Responsabile fase",IF(Procedura!$B$10="Lavori",80%,IF(Voci!$M$7&gt;0,(Voci!$J$7*Procedura!$B$39-Voci!$L$7)*80%/Voci!$M$7,0)),0)),IF(C16="RUP",1,0)),IF(IF(Procedura!$B$10="Lavori",OR(AC16=3,AC16=13),AC16=5),IF(C16="RUP",1,0),IF(IF(Procedura!$B$10="Lavori",OR(AC16=4,AC16=11,AC16=14),OR(AC16=3,AC16=6)),IF(AND(AD16&gt;0,AE16&gt;0),IF(OR(C16="Supporto",C16="Responsabile fase"),60%/AD16,IF(C16="Altro",40%/AE16,0)),IF(AF16&gt;0,1/AF16,0)),IF(AF16&gt;0,1/AF16,0))))))</f>
        <v>0</v>
      </c>
      <c r="F16" s="11">
        <f>IF(A16="",0,INDEX(Voci!$M$6:$M$24,MATCH(A16,Voci!$A$6:$A$24,0))*E16)</f>
        <v>0</v>
      </c>
      <c r="G16" s="11">
        <f>IF(A16="",0,INDEX(Voci!$O$6:$O$24,MATCH(A16,Voci!$A$6:$A$24,0))*E16)</f>
        <v>0</v>
      </c>
      <c r="H16" s="5" t="s">
        <v>60</v>
      </c>
      <c r="I16" s="5" t="s">
        <v>67</v>
      </c>
      <c r="J16" s="8">
        <v>0</v>
      </c>
      <c r="K16" s="8">
        <v>0</v>
      </c>
      <c r="L16" s="8">
        <v>0</v>
      </c>
      <c r="M16" s="8">
        <v>0</v>
      </c>
      <c r="N16" s="5"/>
      <c r="O16" s="10">
        <f t="shared" si="0"/>
        <v>0</v>
      </c>
      <c r="P16" s="10">
        <f t="shared" si="1"/>
        <v>0</v>
      </c>
      <c r="Q16" s="10">
        <f t="shared" si="2"/>
        <v>0</v>
      </c>
      <c r="R16" s="10">
        <f t="shared" si="3"/>
        <v>0</v>
      </c>
      <c r="S16" s="11">
        <f t="shared" si="4"/>
        <v>0</v>
      </c>
      <c r="T16" s="11">
        <f t="shared" si="5"/>
        <v>0</v>
      </c>
      <c r="U16" s="11">
        <f t="shared" si="6"/>
        <v>0</v>
      </c>
      <c r="V16" s="10">
        <f>IF(B16="",0,INDEX(Personale!$F$6:$F$25,MATCH(B16,Personale!$A$6:$A$25,0)))</f>
        <v>0</v>
      </c>
      <c r="W16" s="11">
        <f t="shared" si="7"/>
        <v>0</v>
      </c>
      <c r="X16" s="11">
        <f t="shared" si="8"/>
        <v>0</v>
      </c>
      <c r="Y16" s="11">
        <f>IF(B16="",0,W16*INDEX(Personale!$G$6:$G$25,MATCH(B16,Personale!$A$6:$A$25,0)))</f>
        <v>0</v>
      </c>
      <c r="Z16" s="2" t="str">
        <f>IF(AND(A16&lt;&gt;"",Procedura!$B$10&lt;&gt;"Lavori",AC16=7,B16=Procedura!$B$28),"DEC DEVE ESSERE DIVERSO DAL RUP",IF(AND(ISNUMBER(D16),OR(OR(AND(Procedura!$B$10="Lavori",AC16=10),AND(Procedura!$B$10&lt;&gt;"Lavori",AC16=2)),IF(Procedura!$B$10="Lavori",OR(AC16=3,AC16=13),AC16=5)),ABS(E16-IF(IF(Procedura!$B$10="Lavori",OR(AC16=3,AC16=13),AC16=5),1,IF(Procedura!$B$29="No",1,IF(C16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FISSO",IF(AND(A16="",B16=""),"",IF(OR(A16="",B16="",C16=""),"COMPLETARE VOCE PERSONA RUOLO",IF(COUNTIFS($AA$6:$AA$105,AA16)&gt;1,"PERSONA RIPETUTA NELLA VOCE",IF(INDEX(Voci!$F$6:$F$24,MATCH(A16,Voci!$A$6:$A$24,0))&lt;&gt;"Interna","VOCE NON INTERNA",IF(OR(AND(C16="RUP",B16&lt;&gt;Procedura!$B$28),AND(C16="Responsabile fase",OR(Procedura!$B$29&lt;&gt;"Si",B16&lt;&gt;Procedura!$B$30)),AND(OR(OR(AND(Procedura!$B$10="Lavori",AC16=10),AND(Procedura!$B$10&lt;&gt;"Lavori",AC16=2)),IF(Procedura!$B$10="Lavori",OR(AC16=3,AC16=13),AC16=5)),NOT(OR(C16="RUP",AND(OR(AND(Procedura!$B$10="Lavori",AC16=10),AND(Procedura!$B$10&lt;&gt;"Lavori",AC16=2)),C16="Responsabile fase",Procedura!$B$29="Si")))),AND(IF(Procedura!$B$10="Lavori",OR(AC16=4,AC16=11,AC16=14),OR(AC16=3,AC16=6)),NOT(OR(C16="Supporto",C16="Altro",C16="Responsabile fase")))),"RUOLO NON COERENTE",IF(AND(IF(Procedura!$B$10="Lavori",OR(AC16=4,AC16=11,AC16=14),OR(AC16=3,AC16=6)),B16=Procedura!$B$28),"RUP E COLLABORAZIONE INCOMPATIBILI",IF(AND(AG16&gt;0,AG16&lt;&gt;AF16),"PESI MANUALI SOLO SU ALCUNE RIGHE",IF(AND(J16&gt;0,NOT(AND(Procedura!$B$10="Lavori",OR(AC16=5,AC16=6)))),"RITARDO PROGETTAZIONE NON PERTINENTE",IF(AND(M16&gt;0,M16&lt;5%),"CARENZE INFERIORI AL 5%",IF(AND(OR(J16&gt;0,K16&gt;0,L16&gt;0,M16&gt;0,I16="Si"),N16=""),"MOTIVARE ESCLUSIONE O RIDUZIONE",IF(AND(G16&gt;0,H16="Da verificare"),"ATTESTAZIONE DA ACQUISIRE",IF(AND(G16&gt;0,H16="Si",N16=""),"INDICARE ATTI ATTIVITA","COERENTE"))))))))))))))</f>
        <v/>
      </c>
      <c r="AA16" s="2" t="str">
        <f t="shared" si="9"/>
        <v/>
      </c>
      <c r="AB16" s="2" t="str">
        <f>IF(A16="","",INDEX(Voci!$C$6:$C$24,MATCH(A16,Voci!$A$6:$A$24,0)))</f>
        <v/>
      </c>
      <c r="AC16" s="2">
        <f>IF(A16="",0,INDEX(Voci!$B$6:$B$24,MATCH(A16,Voci!$A$6:$A$24,0)))</f>
        <v>0</v>
      </c>
      <c r="AD16" s="2">
        <f t="shared" si="10"/>
        <v>0</v>
      </c>
      <c r="AE16" s="2">
        <f t="shared" si="11"/>
        <v>0</v>
      </c>
      <c r="AF16" s="2">
        <f t="shared" si="12"/>
        <v>0</v>
      </c>
      <c r="AG16" s="2">
        <f t="shared" si="13"/>
        <v>0</v>
      </c>
      <c r="AH16">
        <f t="shared" si="14"/>
        <v>0</v>
      </c>
    </row>
    <row r="17" spans="1:34" ht="24" customHeight="1">
      <c r="A17" s="5"/>
      <c r="B17" s="5"/>
      <c r="C17" s="5"/>
      <c r="D17" s="8"/>
      <c r="E17" s="10">
        <f>IF(OR(A17="",B17=""),0,IF(ISNUMBER(D17),D17,IF(OR(AND(Procedura!$B$10="Lavori",AC17=10),AND(Procedura!$B$10&lt;&gt;"Lavori",AC17=2)),IF(Procedura!$B$29="Si",IF(C17="RUP",IF(Procedura!$B$10="Lavori",20%,IF(Voci!$M$7&gt;0,(Voci!$J$7*(1-Procedura!$B$39)+(Voci!$J$7*Procedura!$B$39-Voci!$L$7)*20%)/Voci!$M$7,0)),IF(C17="Responsabile fase",IF(Procedura!$B$10="Lavori",80%,IF(Voci!$M$7&gt;0,(Voci!$J$7*Procedura!$B$39-Voci!$L$7)*80%/Voci!$M$7,0)),0)),IF(C17="RUP",1,0)),IF(IF(Procedura!$B$10="Lavori",OR(AC17=3,AC17=13),AC17=5),IF(C17="RUP",1,0),IF(IF(Procedura!$B$10="Lavori",OR(AC17=4,AC17=11,AC17=14),OR(AC17=3,AC17=6)),IF(AND(AD17&gt;0,AE17&gt;0),IF(OR(C17="Supporto",C17="Responsabile fase"),60%/AD17,IF(C17="Altro",40%/AE17,0)),IF(AF17&gt;0,1/AF17,0)),IF(AF17&gt;0,1/AF17,0))))))</f>
        <v>0</v>
      </c>
      <c r="F17" s="11">
        <f>IF(A17="",0,INDEX(Voci!$M$6:$M$24,MATCH(A17,Voci!$A$6:$A$24,0))*E17)</f>
        <v>0</v>
      </c>
      <c r="G17" s="11">
        <f>IF(A17="",0,INDEX(Voci!$O$6:$O$24,MATCH(A17,Voci!$A$6:$A$24,0))*E17)</f>
        <v>0</v>
      </c>
      <c r="H17" s="5" t="s">
        <v>60</v>
      </c>
      <c r="I17" s="5" t="s">
        <v>67</v>
      </c>
      <c r="J17" s="8">
        <v>0</v>
      </c>
      <c r="K17" s="8">
        <v>0</v>
      </c>
      <c r="L17" s="8">
        <v>0</v>
      </c>
      <c r="M17" s="8">
        <v>0</v>
      </c>
      <c r="N17" s="5"/>
      <c r="O17" s="10">
        <f t="shared" si="0"/>
        <v>0</v>
      </c>
      <c r="P17" s="10">
        <f t="shared" si="1"/>
        <v>0</v>
      </c>
      <c r="Q17" s="10">
        <f t="shared" si="2"/>
        <v>0</v>
      </c>
      <c r="R17" s="10">
        <f t="shared" si="3"/>
        <v>0</v>
      </c>
      <c r="S17" s="11">
        <f t="shared" si="4"/>
        <v>0</v>
      </c>
      <c r="T17" s="11">
        <f t="shared" si="5"/>
        <v>0</v>
      </c>
      <c r="U17" s="11">
        <f t="shared" si="6"/>
        <v>0</v>
      </c>
      <c r="V17" s="10">
        <f>IF(B17="",0,INDEX(Personale!$F$6:$F$25,MATCH(B17,Personale!$A$6:$A$25,0)))</f>
        <v>0</v>
      </c>
      <c r="W17" s="11">
        <f t="shared" si="7"/>
        <v>0</v>
      </c>
      <c r="X17" s="11">
        <f t="shared" si="8"/>
        <v>0</v>
      </c>
      <c r="Y17" s="11">
        <f>IF(B17="",0,W17*INDEX(Personale!$G$6:$G$25,MATCH(B17,Personale!$A$6:$A$25,0)))</f>
        <v>0</v>
      </c>
      <c r="Z17" s="2" t="str">
        <f>IF(AND(A17&lt;&gt;"",Procedura!$B$10&lt;&gt;"Lavori",AC17=7,B17=Procedura!$B$28),"DEC DEVE ESSERE DIVERSO DAL RUP",IF(AND(ISNUMBER(D17),OR(OR(AND(Procedura!$B$10="Lavori",AC17=10),AND(Procedura!$B$10&lt;&gt;"Lavori",AC17=2)),IF(Procedura!$B$10="Lavori",OR(AC17=3,AC17=13),AC17=5)),ABS(E17-IF(IF(Procedura!$B$10="Lavori",OR(AC17=3,AC17=13),AC17=5),1,IF(Procedura!$B$29="No",1,IF(C17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FISSO",IF(AND(A17="",B17=""),"",IF(OR(A17="",B17="",C17=""),"COMPLETARE VOCE PERSONA RUOLO",IF(COUNTIFS($AA$6:$AA$105,AA17)&gt;1,"PERSONA RIPETUTA NELLA VOCE",IF(INDEX(Voci!$F$6:$F$24,MATCH(A17,Voci!$A$6:$A$24,0))&lt;&gt;"Interna","VOCE NON INTERNA",IF(OR(AND(C17="RUP",B17&lt;&gt;Procedura!$B$28),AND(C17="Responsabile fase",OR(Procedura!$B$29&lt;&gt;"Si",B17&lt;&gt;Procedura!$B$30)),AND(OR(OR(AND(Procedura!$B$10="Lavori",AC17=10),AND(Procedura!$B$10&lt;&gt;"Lavori",AC17=2)),IF(Procedura!$B$10="Lavori",OR(AC17=3,AC17=13),AC17=5)),NOT(OR(C17="RUP",AND(OR(AND(Procedura!$B$10="Lavori",AC17=10),AND(Procedura!$B$10&lt;&gt;"Lavori",AC17=2)),C17="Responsabile fase",Procedura!$B$29="Si")))),AND(IF(Procedura!$B$10="Lavori",OR(AC17=4,AC17=11,AC17=14),OR(AC17=3,AC17=6)),NOT(OR(C17="Supporto",C17="Altro",C17="Responsabile fase")))),"RUOLO NON COERENTE",IF(AND(IF(Procedura!$B$10="Lavori",OR(AC17=4,AC17=11,AC17=14),OR(AC17=3,AC17=6)),B17=Procedura!$B$28),"RUP E COLLABORAZIONE INCOMPATIBILI",IF(AND(AG17&gt;0,AG17&lt;&gt;AF17),"PESI MANUALI SOLO SU ALCUNE RIGHE",IF(AND(J17&gt;0,NOT(AND(Procedura!$B$10="Lavori",OR(AC17=5,AC17=6)))),"RITARDO PROGETTAZIONE NON PERTINENTE",IF(AND(M17&gt;0,M17&lt;5%),"CARENZE INFERIORI AL 5%",IF(AND(OR(J17&gt;0,K17&gt;0,L17&gt;0,M17&gt;0,I17="Si"),N17=""),"MOTIVARE ESCLUSIONE O RIDUZIONE",IF(AND(G17&gt;0,H17="Da verificare"),"ATTESTAZIONE DA ACQUISIRE",IF(AND(G17&gt;0,H17="Si",N17=""),"INDICARE ATTI ATTIVITA","COERENTE"))))))))))))))</f>
        <v/>
      </c>
      <c r="AA17" s="2" t="str">
        <f t="shared" si="9"/>
        <v/>
      </c>
      <c r="AB17" s="2" t="str">
        <f>IF(A17="","",INDEX(Voci!$C$6:$C$24,MATCH(A17,Voci!$A$6:$A$24,0)))</f>
        <v/>
      </c>
      <c r="AC17" s="2">
        <f>IF(A17="",0,INDEX(Voci!$B$6:$B$24,MATCH(A17,Voci!$A$6:$A$24,0)))</f>
        <v>0</v>
      </c>
      <c r="AD17" s="2">
        <f t="shared" si="10"/>
        <v>0</v>
      </c>
      <c r="AE17" s="2">
        <f t="shared" si="11"/>
        <v>0</v>
      </c>
      <c r="AF17" s="2">
        <f t="shared" si="12"/>
        <v>0</v>
      </c>
      <c r="AG17" s="2">
        <f t="shared" si="13"/>
        <v>0</v>
      </c>
      <c r="AH17">
        <f t="shared" si="14"/>
        <v>0</v>
      </c>
    </row>
    <row r="18" spans="1:34" ht="24" customHeight="1">
      <c r="A18" s="5"/>
      <c r="B18" s="5"/>
      <c r="C18" s="5"/>
      <c r="D18" s="8"/>
      <c r="E18" s="10">
        <f>IF(OR(A18="",B18=""),0,IF(ISNUMBER(D18),D18,IF(OR(AND(Procedura!$B$10="Lavori",AC18=10),AND(Procedura!$B$10&lt;&gt;"Lavori",AC18=2)),IF(Procedura!$B$29="Si",IF(C18="RUP",IF(Procedura!$B$10="Lavori",20%,IF(Voci!$M$7&gt;0,(Voci!$J$7*(1-Procedura!$B$39)+(Voci!$J$7*Procedura!$B$39-Voci!$L$7)*20%)/Voci!$M$7,0)),IF(C18="Responsabile fase",IF(Procedura!$B$10="Lavori",80%,IF(Voci!$M$7&gt;0,(Voci!$J$7*Procedura!$B$39-Voci!$L$7)*80%/Voci!$M$7,0)),0)),IF(C18="RUP",1,0)),IF(IF(Procedura!$B$10="Lavori",OR(AC18=3,AC18=13),AC18=5),IF(C18="RUP",1,0),IF(IF(Procedura!$B$10="Lavori",OR(AC18=4,AC18=11,AC18=14),OR(AC18=3,AC18=6)),IF(AND(AD18&gt;0,AE18&gt;0),IF(OR(C18="Supporto",C18="Responsabile fase"),60%/AD18,IF(C18="Altro",40%/AE18,0)),IF(AF18&gt;0,1/AF18,0)),IF(AF18&gt;0,1/AF18,0))))))</f>
        <v>0</v>
      </c>
      <c r="F18" s="11">
        <f>IF(A18="",0,INDEX(Voci!$M$6:$M$24,MATCH(A18,Voci!$A$6:$A$24,0))*E18)</f>
        <v>0</v>
      </c>
      <c r="G18" s="11">
        <f>IF(A18="",0,INDEX(Voci!$O$6:$O$24,MATCH(A18,Voci!$A$6:$A$24,0))*E18)</f>
        <v>0</v>
      </c>
      <c r="H18" s="5" t="s">
        <v>60</v>
      </c>
      <c r="I18" s="5" t="s">
        <v>67</v>
      </c>
      <c r="J18" s="8">
        <v>0</v>
      </c>
      <c r="K18" s="8">
        <v>0</v>
      </c>
      <c r="L18" s="8">
        <v>0</v>
      </c>
      <c r="M18" s="8">
        <v>0</v>
      </c>
      <c r="N18" s="5"/>
      <c r="O18" s="10">
        <f t="shared" si="0"/>
        <v>0</v>
      </c>
      <c r="P18" s="10">
        <f t="shared" si="1"/>
        <v>0</v>
      </c>
      <c r="Q18" s="10">
        <f t="shared" si="2"/>
        <v>0</v>
      </c>
      <c r="R18" s="10">
        <f t="shared" si="3"/>
        <v>0</v>
      </c>
      <c r="S18" s="11">
        <f t="shared" si="4"/>
        <v>0</v>
      </c>
      <c r="T18" s="11">
        <f t="shared" si="5"/>
        <v>0</v>
      </c>
      <c r="U18" s="11">
        <f t="shared" si="6"/>
        <v>0</v>
      </c>
      <c r="V18" s="10">
        <f>IF(B18="",0,INDEX(Personale!$F$6:$F$25,MATCH(B18,Personale!$A$6:$A$25,0)))</f>
        <v>0</v>
      </c>
      <c r="W18" s="11">
        <f t="shared" si="7"/>
        <v>0</v>
      </c>
      <c r="X18" s="11">
        <f t="shared" si="8"/>
        <v>0</v>
      </c>
      <c r="Y18" s="11">
        <f>IF(B18="",0,W18*INDEX(Personale!$G$6:$G$25,MATCH(B18,Personale!$A$6:$A$25,0)))</f>
        <v>0</v>
      </c>
      <c r="Z18" s="2" t="str">
        <f>IF(AND(A18&lt;&gt;"",Procedura!$B$10&lt;&gt;"Lavori",AC18=7,B18=Procedura!$B$28),"DEC DEVE ESSERE DIVERSO DAL RUP",IF(AND(ISNUMBER(D18),OR(OR(AND(Procedura!$B$10="Lavori",AC18=10),AND(Procedura!$B$10&lt;&gt;"Lavori",AC18=2)),IF(Procedura!$B$10="Lavori",OR(AC18=3,AC18=13),AC18=5)),ABS(E18-IF(IF(Procedura!$B$10="Lavori",OR(AC18=3,AC18=13),AC18=5),1,IF(Procedura!$B$29="No",1,IF(C18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FISSO",IF(AND(A18="",B18=""),"",IF(OR(A18="",B18="",C18=""),"COMPLETARE VOCE PERSONA RUOLO",IF(COUNTIFS($AA$6:$AA$105,AA18)&gt;1,"PERSONA RIPETUTA NELLA VOCE",IF(INDEX(Voci!$F$6:$F$24,MATCH(A18,Voci!$A$6:$A$24,0))&lt;&gt;"Interna","VOCE NON INTERNA",IF(OR(AND(C18="RUP",B18&lt;&gt;Procedura!$B$28),AND(C18="Responsabile fase",OR(Procedura!$B$29&lt;&gt;"Si",B18&lt;&gt;Procedura!$B$30)),AND(OR(OR(AND(Procedura!$B$10="Lavori",AC18=10),AND(Procedura!$B$10&lt;&gt;"Lavori",AC18=2)),IF(Procedura!$B$10="Lavori",OR(AC18=3,AC18=13),AC18=5)),NOT(OR(C18="RUP",AND(OR(AND(Procedura!$B$10="Lavori",AC18=10),AND(Procedura!$B$10&lt;&gt;"Lavori",AC18=2)),C18="Responsabile fase",Procedura!$B$29="Si")))),AND(IF(Procedura!$B$10="Lavori",OR(AC18=4,AC18=11,AC18=14),OR(AC18=3,AC18=6)),NOT(OR(C18="Supporto",C18="Altro",C18="Responsabile fase")))),"RUOLO NON COERENTE",IF(AND(IF(Procedura!$B$10="Lavori",OR(AC18=4,AC18=11,AC18=14),OR(AC18=3,AC18=6)),B18=Procedura!$B$28),"RUP E COLLABORAZIONE INCOMPATIBILI",IF(AND(AG18&gt;0,AG18&lt;&gt;AF18),"PESI MANUALI SOLO SU ALCUNE RIGHE",IF(AND(J18&gt;0,NOT(AND(Procedura!$B$10="Lavori",OR(AC18=5,AC18=6)))),"RITARDO PROGETTAZIONE NON PERTINENTE",IF(AND(M18&gt;0,M18&lt;5%),"CARENZE INFERIORI AL 5%",IF(AND(OR(J18&gt;0,K18&gt;0,L18&gt;0,M18&gt;0,I18="Si"),N18=""),"MOTIVARE ESCLUSIONE O RIDUZIONE",IF(AND(G18&gt;0,H18="Da verificare"),"ATTESTAZIONE DA ACQUISIRE",IF(AND(G18&gt;0,H18="Si",N18=""),"INDICARE ATTI ATTIVITA","COERENTE"))))))))))))))</f>
        <v/>
      </c>
      <c r="AA18" s="2" t="str">
        <f t="shared" si="9"/>
        <v/>
      </c>
      <c r="AB18" s="2" t="str">
        <f>IF(A18="","",INDEX(Voci!$C$6:$C$24,MATCH(A18,Voci!$A$6:$A$24,0)))</f>
        <v/>
      </c>
      <c r="AC18" s="2">
        <f>IF(A18="",0,INDEX(Voci!$B$6:$B$24,MATCH(A18,Voci!$A$6:$A$24,0)))</f>
        <v>0</v>
      </c>
      <c r="AD18" s="2">
        <f t="shared" si="10"/>
        <v>0</v>
      </c>
      <c r="AE18" s="2">
        <f t="shared" si="11"/>
        <v>0</v>
      </c>
      <c r="AF18" s="2">
        <f t="shared" si="12"/>
        <v>0</v>
      </c>
      <c r="AG18" s="2">
        <f t="shared" si="13"/>
        <v>0</v>
      </c>
      <c r="AH18">
        <f t="shared" si="14"/>
        <v>0</v>
      </c>
    </row>
    <row r="19" spans="1:34" ht="24" customHeight="1">
      <c r="A19" s="5"/>
      <c r="B19" s="5"/>
      <c r="C19" s="5"/>
      <c r="D19" s="8"/>
      <c r="E19" s="10">
        <f>IF(OR(A19="",B19=""),0,IF(ISNUMBER(D19),D19,IF(OR(AND(Procedura!$B$10="Lavori",AC19=10),AND(Procedura!$B$10&lt;&gt;"Lavori",AC19=2)),IF(Procedura!$B$29="Si",IF(C19="RUP",IF(Procedura!$B$10="Lavori",20%,IF(Voci!$M$7&gt;0,(Voci!$J$7*(1-Procedura!$B$39)+(Voci!$J$7*Procedura!$B$39-Voci!$L$7)*20%)/Voci!$M$7,0)),IF(C19="Responsabile fase",IF(Procedura!$B$10="Lavori",80%,IF(Voci!$M$7&gt;0,(Voci!$J$7*Procedura!$B$39-Voci!$L$7)*80%/Voci!$M$7,0)),0)),IF(C19="RUP",1,0)),IF(IF(Procedura!$B$10="Lavori",OR(AC19=3,AC19=13),AC19=5),IF(C19="RUP",1,0),IF(IF(Procedura!$B$10="Lavori",OR(AC19=4,AC19=11,AC19=14),OR(AC19=3,AC19=6)),IF(AND(AD19&gt;0,AE19&gt;0),IF(OR(C19="Supporto",C19="Responsabile fase"),60%/AD19,IF(C19="Altro",40%/AE19,0)),IF(AF19&gt;0,1/AF19,0)),IF(AF19&gt;0,1/AF19,0))))))</f>
        <v>0</v>
      </c>
      <c r="F19" s="11">
        <f>IF(A19="",0,INDEX(Voci!$M$6:$M$24,MATCH(A19,Voci!$A$6:$A$24,0))*E19)</f>
        <v>0</v>
      </c>
      <c r="G19" s="11">
        <f>IF(A19="",0,INDEX(Voci!$O$6:$O$24,MATCH(A19,Voci!$A$6:$A$24,0))*E19)</f>
        <v>0</v>
      </c>
      <c r="H19" s="5" t="s">
        <v>60</v>
      </c>
      <c r="I19" s="5" t="s">
        <v>67</v>
      </c>
      <c r="J19" s="8">
        <v>0</v>
      </c>
      <c r="K19" s="8">
        <v>0</v>
      </c>
      <c r="L19" s="8">
        <v>0</v>
      </c>
      <c r="M19" s="8">
        <v>0</v>
      </c>
      <c r="N19" s="5"/>
      <c r="O19" s="10">
        <f t="shared" si="0"/>
        <v>0</v>
      </c>
      <c r="P19" s="10">
        <f t="shared" si="1"/>
        <v>0</v>
      </c>
      <c r="Q19" s="10">
        <f t="shared" si="2"/>
        <v>0</v>
      </c>
      <c r="R19" s="10">
        <f t="shared" si="3"/>
        <v>0</v>
      </c>
      <c r="S19" s="11">
        <f t="shared" si="4"/>
        <v>0</v>
      </c>
      <c r="T19" s="11">
        <f t="shared" si="5"/>
        <v>0</v>
      </c>
      <c r="U19" s="11">
        <f t="shared" si="6"/>
        <v>0</v>
      </c>
      <c r="V19" s="10">
        <f>IF(B19="",0,INDEX(Personale!$F$6:$F$25,MATCH(B19,Personale!$A$6:$A$25,0)))</f>
        <v>0</v>
      </c>
      <c r="W19" s="11">
        <f t="shared" si="7"/>
        <v>0</v>
      </c>
      <c r="X19" s="11">
        <f t="shared" si="8"/>
        <v>0</v>
      </c>
      <c r="Y19" s="11">
        <f>IF(B19="",0,W19*INDEX(Personale!$G$6:$G$25,MATCH(B19,Personale!$A$6:$A$25,0)))</f>
        <v>0</v>
      </c>
      <c r="Z19" s="2" t="str">
        <f>IF(AND(A19&lt;&gt;"",Procedura!$B$10&lt;&gt;"Lavori",AC19=7,B19=Procedura!$B$28),"DEC DEVE ESSERE DIVERSO DAL RUP",IF(AND(ISNUMBER(D19),OR(OR(AND(Procedura!$B$10="Lavori",AC19=10),AND(Procedura!$B$10&lt;&gt;"Lavori",AC19=2)),IF(Procedura!$B$10="Lavori",OR(AC19=3,AC19=13),AC19=5)),ABS(E19-IF(IF(Procedura!$B$10="Lavori",OR(AC19=3,AC19=13),AC19=5),1,IF(Procedura!$B$29="No",1,IF(C19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FISSO",IF(AND(A19="",B19=""),"",IF(OR(A19="",B19="",C19=""),"COMPLETARE VOCE PERSONA RUOLO",IF(COUNTIFS($AA$6:$AA$105,AA19)&gt;1,"PERSONA RIPETUTA NELLA VOCE",IF(INDEX(Voci!$F$6:$F$24,MATCH(A19,Voci!$A$6:$A$24,0))&lt;&gt;"Interna","VOCE NON INTERNA",IF(OR(AND(C19="RUP",B19&lt;&gt;Procedura!$B$28),AND(C19="Responsabile fase",OR(Procedura!$B$29&lt;&gt;"Si",B19&lt;&gt;Procedura!$B$30)),AND(OR(OR(AND(Procedura!$B$10="Lavori",AC19=10),AND(Procedura!$B$10&lt;&gt;"Lavori",AC19=2)),IF(Procedura!$B$10="Lavori",OR(AC19=3,AC19=13),AC19=5)),NOT(OR(C19="RUP",AND(OR(AND(Procedura!$B$10="Lavori",AC19=10),AND(Procedura!$B$10&lt;&gt;"Lavori",AC19=2)),C19="Responsabile fase",Procedura!$B$29="Si")))),AND(IF(Procedura!$B$10="Lavori",OR(AC19=4,AC19=11,AC19=14),OR(AC19=3,AC19=6)),NOT(OR(C19="Supporto",C19="Altro",C19="Responsabile fase")))),"RUOLO NON COERENTE",IF(AND(IF(Procedura!$B$10="Lavori",OR(AC19=4,AC19=11,AC19=14),OR(AC19=3,AC19=6)),B19=Procedura!$B$28),"RUP E COLLABORAZIONE INCOMPATIBILI",IF(AND(AG19&gt;0,AG19&lt;&gt;AF19),"PESI MANUALI SOLO SU ALCUNE RIGHE",IF(AND(J19&gt;0,NOT(AND(Procedura!$B$10="Lavori",OR(AC19=5,AC19=6)))),"RITARDO PROGETTAZIONE NON PERTINENTE",IF(AND(M19&gt;0,M19&lt;5%),"CARENZE INFERIORI AL 5%",IF(AND(OR(J19&gt;0,K19&gt;0,L19&gt;0,M19&gt;0,I19="Si"),N19=""),"MOTIVARE ESCLUSIONE O RIDUZIONE",IF(AND(G19&gt;0,H19="Da verificare"),"ATTESTAZIONE DA ACQUISIRE",IF(AND(G19&gt;0,H19="Si",N19=""),"INDICARE ATTI ATTIVITA","COERENTE"))))))))))))))</f>
        <v/>
      </c>
      <c r="AA19" s="2" t="str">
        <f t="shared" si="9"/>
        <v/>
      </c>
      <c r="AB19" s="2" t="str">
        <f>IF(A19="","",INDEX(Voci!$C$6:$C$24,MATCH(A19,Voci!$A$6:$A$24,0)))</f>
        <v/>
      </c>
      <c r="AC19" s="2">
        <f>IF(A19="",0,INDEX(Voci!$B$6:$B$24,MATCH(A19,Voci!$A$6:$A$24,0)))</f>
        <v>0</v>
      </c>
      <c r="AD19" s="2">
        <f t="shared" si="10"/>
        <v>0</v>
      </c>
      <c r="AE19" s="2">
        <f t="shared" si="11"/>
        <v>0</v>
      </c>
      <c r="AF19" s="2">
        <f t="shared" si="12"/>
        <v>0</v>
      </c>
      <c r="AG19" s="2">
        <f t="shared" si="13"/>
        <v>0</v>
      </c>
      <c r="AH19">
        <f t="shared" si="14"/>
        <v>0</v>
      </c>
    </row>
    <row r="20" spans="1:34" ht="24" customHeight="1">
      <c r="A20" s="5"/>
      <c r="B20" s="5"/>
      <c r="C20" s="5"/>
      <c r="D20" s="8"/>
      <c r="E20" s="10">
        <f>IF(OR(A20="",B20=""),0,IF(ISNUMBER(D20),D20,IF(OR(AND(Procedura!$B$10="Lavori",AC20=10),AND(Procedura!$B$10&lt;&gt;"Lavori",AC20=2)),IF(Procedura!$B$29="Si",IF(C20="RUP",IF(Procedura!$B$10="Lavori",20%,IF(Voci!$M$7&gt;0,(Voci!$J$7*(1-Procedura!$B$39)+(Voci!$J$7*Procedura!$B$39-Voci!$L$7)*20%)/Voci!$M$7,0)),IF(C20="Responsabile fase",IF(Procedura!$B$10="Lavori",80%,IF(Voci!$M$7&gt;0,(Voci!$J$7*Procedura!$B$39-Voci!$L$7)*80%/Voci!$M$7,0)),0)),IF(C20="RUP",1,0)),IF(IF(Procedura!$B$10="Lavori",OR(AC20=3,AC20=13),AC20=5),IF(C20="RUP",1,0),IF(IF(Procedura!$B$10="Lavori",OR(AC20=4,AC20=11,AC20=14),OR(AC20=3,AC20=6)),IF(AND(AD20&gt;0,AE20&gt;0),IF(OR(C20="Supporto",C20="Responsabile fase"),60%/AD20,IF(C20="Altro",40%/AE20,0)),IF(AF20&gt;0,1/AF20,0)),IF(AF20&gt;0,1/AF20,0))))))</f>
        <v>0</v>
      </c>
      <c r="F20" s="11">
        <f>IF(A20="",0,INDEX(Voci!$M$6:$M$24,MATCH(A20,Voci!$A$6:$A$24,0))*E20)</f>
        <v>0</v>
      </c>
      <c r="G20" s="11">
        <f>IF(A20="",0,INDEX(Voci!$O$6:$O$24,MATCH(A20,Voci!$A$6:$A$24,0))*E20)</f>
        <v>0</v>
      </c>
      <c r="H20" s="5" t="s">
        <v>60</v>
      </c>
      <c r="I20" s="5" t="s">
        <v>67</v>
      </c>
      <c r="J20" s="8">
        <v>0</v>
      </c>
      <c r="K20" s="8">
        <v>0</v>
      </c>
      <c r="L20" s="8">
        <v>0</v>
      </c>
      <c r="M20" s="8">
        <v>0</v>
      </c>
      <c r="N20" s="5"/>
      <c r="O20" s="10">
        <f t="shared" si="0"/>
        <v>0</v>
      </c>
      <c r="P20" s="10">
        <f t="shared" si="1"/>
        <v>0</v>
      </c>
      <c r="Q20" s="10">
        <f t="shared" si="2"/>
        <v>0</v>
      </c>
      <c r="R20" s="10">
        <f t="shared" si="3"/>
        <v>0</v>
      </c>
      <c r="S20" s="11">
        <f t="shared" si="4"/>
        <v>0</v>
      </c>
      <c r="T20" s="11">
        <f t="shared" si="5"/>
        <v>0</v>
      </c>
      <c r="U20" s="11">
        <f t="shared" si="6"/>
        <v>0</v>
      </c>
      <c r="V20" s="10">
        <f>IF(B20="",0,INDEX(Personale!$F$6:$F$25,MATCH(B20,Personale!$A$6:$A$25,0)))</f>
        <v>0</v>
      </c>
      <c r="W20" s="11">
        <f t="shared" si="7"/>
        <v>0</v>
      </c>
      <c r="X20" s="11">
        <f t="shared" si="8"/>
        <v>0</v>
      </c>
      <c r="Y20" s="11">
        <f>IF(B20="",0,W20*INDEX(Personale!$G$6:$G$25,MATCH(B20,Personale!$A$6:$A$25,0)))</f>
        <v>0</v>
      </c>
      <c r="Z20" s="2" t="str">
        <f>IF(AND(A20&lt;&gt;"",Procedura!$B$10&lt;&gt;"Lavori",AC20=7,B20=Procedura!$B$28),"DEC DEVE ESSERE DIVERSO DAL RUP",IF(AND(ISNUMBER(D20),OR(OR(AND(Procedura!$B$10="Lavori",AC20=10),AND(Procedura!$B$10&lt;&gt;"Lavori",AC20=2)),IF(Procedura!$B$10="Lavori",OR(AC20=3,AC20=13),AC20=5)),ABS(E20-IF(IF(Procedura!$B$10="Lavori",OR(AC20=3,AC20=13),AC20=5),1,IF(Procedura!$B$29="No",1,IF(C20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FISSO",IF(AND(A20="",B20=""),"",IF(OR(A20="",B20="",C20=""),"COMPLETARE VOCE PERSONA RUOLO",IF(COUNTIFS($AA$6:$AA$105,AA20)&gt;1,"PERSONA RIPETUTA NELLA VOCE",IF(INDEX(Voci!$F$6:$F$24,MATCH(A20,Voci!$A$6:$A$24,0))&lt;&gt;"Interna","VOCE NON INTERNA",IF(OR(AND(C20="RUP",B20&lt;&gt;Procedura!$B$28),AND(C20="Responsabile fase",OR(Procedura!$B$29&lt;&gt;"Si",B20&lt;&gt;Procedura!$B$30)),AND(OR(OR(AND(Procedura!$B$10="Lavori",AC20=10),AND(Procedura!$B$10&lt;&gt;"Lavori",AC20=2)),IF(Procedura!$B$10="Lavori",OR(AC20=3,AC20=13),AC20=5)),NOT(OR(C20="RUP",AND(OR(AND(Procedura!$B$10="Lavori",AC20=10),AND(Procedura!$B$10&lt;&gt;"Lavori",AC20=2)),C20="Responsabile fase",Procedura!$B$29="Si")))),AND(IF(Procedura!$B$10="Lavori",OR(AC20=4,AC20=11,AC20=14),OR(AC20=3,AC20=6)),NOT(OR(C20="Supporto",C20="Altro",C20="Responsabile fase")))),"RUOLO NON COERENTE",IF(AND(IF(Procedura!$B$10="Lavori",OR(AC20=4,AC20=11,AC20=14),OR(AC20=3,AC20=6)),B20=Procedura!$B$28),"RUP E COLLABORAZIONE INCOMPATIBILI",IF(AND(AG20&gt;0,AG20&lt;&gt;AF20),"PESI MANUALI SOLO SU ALCUNE RIGHE",IF(AND(J20&gt;0,NOT(AND(Procedura!$B$10="Lavori",OR(AC20=5,AC20=6)))),"RITARDO PROGETTAZIONE NON PERTINENTE",IF(AND(M20&gt;0,M20&lt;5%),"CARENZE INFERIORI AL 5%",IF(AND(OR(J20&gt;0,K20&gt;0,L20&gt;0,M20&gt;0,I20="Si"),N20=""),"MOTIVARE ESCLUSIONE O RIDUZIONE",IF(AND(G20&gt;0,H20="Da verificare"),"ATTESTAZIONE DA ACQUISIRE",IF(AND(G20&gt;0,H20="Si",N20=""),"INDICARE ATTI ATTIVITA","COERENTE"))))))))))))))</f>
        <v/>
      </c>
      <c r="AA20" s="2" t="str">
        <f t="shared" si="9"/>
        <v/>
      </c>
      <c r="AB20" s="2" t="str">
        <f>IF(A20="","",INDEX(Voci!$C$6:$C$24,MATCH(A20,Voci!$A$6:$A$24,0)))</f>
        <v/>
      </c>
      <c r="AC20" s="2">
        <f>IF(A20="",0,INDEX(Voci!$B$6:$B$24,MATCH(A20,Voci!$A$6:$A$24,0)))</f>
        <v>0</v>
      </c>
      <c r="AD20" s="2">
        <f t="shared" si="10"/>
        <v>0</v>
      </c>
      <c r="AE20" s="2">
        <f t="shared" si="11"/>
        <v>0</v>
      </c>
      <c r="AF20" s="2">
        <f t="shared" si="12"/>
        <v>0</v>
      </c>
      <c r="AG20" s="2">
        <f t="shared" si="13"/>
        <v>0</v>
      </c>
      <c r="AH20">
        <f t="shared" si="14"/>
        <v>0</v>
      </c>
    </row>
    <row r="21" spans="1:34" ht="24" customHeight="1">
      <c r="A21" s="5"/>
      <c r="B21" s="5"/>
      <c r="C21" s="5"/>
      <c r="D21" s="8"/>
      <c r="E21" s="10">
        <f>IF(OR(A21="",B21=""),0,IF(ISNUMBER(D21),D21,IF(OR(AND(Procedura!$B$10="Lavori",AC21=10),AND(Procedura!$B$10&lt;&gt;"Lavori",AC21=2)),IF(Procedura!$B$29="Si",IF(C21="RUP",IF(Procedura!$B$10="Lavori",20%,IF(Voci!$M$7&gt;0,(Voci!$J$7*(1-Procedura!$B$39)+(Voci!$J$7*Procedura!$B$39-Voci!$L$7)*20%)/Voci!$M$7,0)),IF(C21="Responsabile fase",IF(Procedura!$B$10="Lavori",80%,IF(Voci!$M$7&gt;0,(Voci!$J$7*Procedura!$B$39-Voci!$L$7)*80%/Voci!$M$7,0)),0)),IF(C21="RUP",1,0)),IF(IF(Procedura!$B$10="Lavori",OR(AC21=3,AC21=13),AC21=5),IF(C21="RUP",1,0),IF(IF(Procedura!$B$10="Lavori",OR(AC21=4,AC21=11,AC21=14),OR(AC21=3,AC21=6)),IF(AND(AD21&gt;0,AE21&gt;0),IF(OR(C21="Supporto",C21="Responsabile fase"),60%/AD21,IF(C21="Altro",40%/AE21,0)),IF(AF21&gt;0,1/AF21,0)),IF(AF21&gt;0,1/AF21,0))))))</f>
        <v>0</v>
      </c>
      <c r="F21" s="11">
        <f>IF(A21="",0,INDEX(Voci!$M$6:$M$24,MATCH(A21,Voci!$A$6:$A$24,0))*E21)</f>
        <v>0</v>
      </c>
      <c r="G21" s="11">
        <f>IF(A21="",0,INDEX(Voci!$O$6:$O$24,MATCH(A21,Voci!$A$6:$A$24,0))*E21)</f>
        <v>0</v>
      </c>
      <c r="H21" s="5" t="s">
        <v>60</v>
      </c>
      <c r="I21" s="5" t="s">
        <v>67</v>
      </c>
      <c r="J21" s="8">
        <v>0</v>
      </c>
      <c r="K21" s="8">
        <v>0</v>
      </c>
      <c r="L21" s="8">
        <v>0</v>
      </c>
      <c r="M21" s="8">
        <v>0</v>
      </c>
      <c r="N21" s="5"/>
      <c r="O21" s="10">
        <f t="shared" si="0"/>
        <v>0</v>
      </c>
      <c r="P21" s="10">
        <f t="shared" si="1"/>
        <v>0</v>
      </c>
      <c r="Q21" s="10">
        <f t="shared" si="2"/>
        <v>0</v>
      </c>
      <c r="R21" s="10">
        <f t="shared" si="3"/>
        <v>0</v>
      </c>
      <c r="S21" s="11">
        <f t="shared" si="4"/>
        <v>0</v>
      </c>
      <c r="T21" s="11">
        <f t="shared" si="5"/>
        <v>0</v>
      </c>
      <c r="U21" s="11">
        <f t="shared" si="6"/>
        <v>0</v>
      </c>
      <c r="V21" s="10">
        <f>IF(B21="",0,INDEX(Personale!$F$6:$F$25,MATCH(B21,Personale!$A$6:$A$25,0)))</f>
        <v>0</v>
      </c>
      <c r="W21" s="11">
        <f t="shared" si="7"/>
        <v>0</v>
      </c>
      <c r="X21" s="11">
        <f t="shared" si="8"/>
        <v>0</v>
      </c>
      <c r="Y21" s="11">
        <f>IF(B21="",0,W21*INDEX(Personale!$G$6:$G$25,MATCH(B21,Personale!$A$6:$A$25,0)))</f>
        <v>0</v>
      </c>
      <c r="Z21" s="2" t="str">
        <f>IF(AND(A21&lt;&gt;"",Procedura!$B$10&lt;&gt;"Lavori",AC21=7,B21=Procedura!$B$28),"DEC DEVE ESSERE DIVERSO DAL RUP",IF(AND(ISNUMBER(D21),OR(OR(AND(Procedura!$B$10="Lavori",AC21=10),AND(Procedura!$B$10&lt;&gt;"Lavori",AC21=2)),IF(Procedura!$B$10="Lavori",OR(AC21=3,AC21=13),AC21=5)),ABS(E21-IF(IF(Procedura!$B$10="Lavori",OR(AC21=3,AC21=13),AC21=5),1,IF(Procedura!$B$29="No",1,IF(C21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FISSO",IF(AND(A21="",B21=""),"",IF(OR(A21="",B21="",C21=""),"COMPLETARE VOCE PERSONA RUOLO",IF(COUNTIFS($AA$6:$AA$105,AA21)&gt;1,"PERSONA RIPETUTA NELLA VOCE",IF(INDEX(Voci!$F$6:$F$24,MATCH(A21,Voci!$A$6:$A$24,0))&lt;&gt;"Interna","VOCE NON INTERNA",IF(OR(AND(C21="RUP",B21&lt;&gt;Procedura!$B$28),AND(C21="Responsabile fase",OR(Procedura!$B$29&lt;&gt;"Si",B21&lt;&gt;Procedura!$B$30)),AND(OR(OR(AND(Procedura!$B$10="Lavori",AC21=10),AND(Procedura!$B$10&lt;&gt;"Lavori",AC21=2)),IF(Procedura!$B$10="Lavori",OR(AC21=3,AC21=13),AC21=5)),NOT(OR(C21="RUP",AND(OR(AND(Procedura!$B$10="Lavori",AC21=10),AND(Procedura!$B$10&lt;&gt;"Lavori",AC21=2)),C21="Responsabile fase",Procedura!$B$29="Si")))),AND(IF(Procedura!$B$10="Lavori",OR(AC21=4,AC21=11,AC21=14),OR(AC21=3,AC21=6)),NOT(OR(C21="Supporto",C21="Altro",C21="Responsabile fase")))),"RUOLO NON COERENTE",IF(AND(IF(Procedura!$B$10="Lavori",OR(AC21=4,AC21=11,AC21=14),OR(AC21=3,AC21=6)),B21=Procedura!$B$28),"RUP E COLLABORAZIONE INCOMPATIBILI",IF(AND(AG21&gt;0,AG21&lt;&gt;AF21),"PESI MANUALI SOLO SU ALCUNE RIGHE",IF(AND(J21&gt;0,NOT(AND(Procedura!$B$10="Lavori",OR(AC21=5,AC21=6)))),"RITARDO PROGETTAZIONE NON PERTINENTE",IF(AND(M21&gt;0,M21&lt;5%),"CARENZE INFERIORI AL 5%",IF(AND(OR(J21&gt;0,K21&gt;0,L21&gt;0,M21&gt;0,I21="Si"),N21=""),"MOTIVARE ESCLUSIONE O RIDUZIONE",IF(AND(G21&gt;0,H21="Da verificare"),"ATTESTAZIONE DA ACQUISIRE",IF(AND(G21&gt;0,H21="Si",N21=""),"INDICARE ATTI ATTIVITA","COERENTE"))))))))))))))</f>
        <v/>
      </c>
      <c r="AA21" s="2" t="str">
        <f t="shared" si="9"/>
        <v/>
      </c>
      <c r="AB21" s="2" t="str">
        <f>IF(A21="","",INDEX(Voci!$C$6:$C$24,MATCH(A21,Voci!$A$6:$A$24,0)))</f>
        <v/>
      </c>
      <c r="AC21" s="2">
        <f>IF(A21="",0,INDEX(Voci!$B$6:$B$24,MATCH(A21,Voci!$A$6:$A$24,0)))</f>
        <v>0</v>
      </c>
      <c r="AD21" s="2">
        <f t="shared" si="10"/>
        <v>0</v>
      </c>
      <c r="AE21" s="2">
        <f t="shared" si="11"/>
        <v>0</v>
      </c>
      <c r="AF21" s="2">
        <f t="shared" si="12"/>
        <v>0</v>
      </c>
      <c r="AG21" s="2">
        <f t="shared" si="13"/>
        <v>0</v>
      </c>
      <c r="AH21">
        <f t="shared" si="14"/>
        <v>0</v>
      </c>
    </row>
    <row r="22" spans="1:34" ht="24" customHeight="1">
      <c r="A22" s="5"/>
      <c r="B22" s="5"/>
      <c r="C22" s="5"/>
      <c r="D22" s="8"/>
      <c r="E22" s="10">
        <f>IF(OR(A22="",B22=""),0,IF(ISNUMBER(D22),D22,IF(OR(AND(Procedura!$B$10="Lavori",AC22=10),AND(Procedura!$B$10&lt;&gt;"Lavori",AC22=2)),IF(Procedura!$B$29="Si",IF(C22="RUP",IF(Procedura!$B$10="Lavori",20%,IF(Voci!$M$7&gt;0,(Voci!$J$7*(1-Procedura!$B$39)+(Voci!$J$7*Procedura!$B$39-Voci!$L$7)*20%)/Voci!$M$7,0)),IF(C22="Responsabile fase",IF(Procedura!$B$10="Lavori",80%,IF(Voci!$M$7&gt;0,(Voci!$J$7*Procedura!$B$39-Voci!$L$7)*80%/Voci!$M$7,0)),0)),IF(C22="RUP",1,0)),IF(IF(Procedura!$B$10="Lavori",OR(AC22=3,AC22=13),AC22=5),IF(C22="RUP",1,0),IF(IF(Procedura!$B$10="Lavori",OR(AC22=4,AC22=11,AC22=14),OR(AC22=3,AC22=6)),IF(AND(AD22&gt;0,AE22&gt;0),IF(OR(C22="Supporto",C22="Responsabile fase"),60%/AD22,IF(C22="Altro",40%/AE22,0)),IF(AF22&gt;0,1/AF22,0)),IF(AF22&gt;0,1/AF22,0))))))</f>
        <v>0</v>
      </c>
      <c r="F22" s="11">
        <f>IF(A22="",0,INDEX(Voci!$M$6:$M$24,MATCH(A22,Voci!$A$6:$A$24,0))*E22)</f>
        <v>0</v>
      </c>
      <c r="G22" s="11">
        <f>IF(A22="",0,INDEX(Voci!$O$6:$O$24,MATCH(A22,Voci!$A$6:$A$24,0))*E22)</f>
        <v>0</v>
      </c>
      <c r="H22" s="5" t="s">
        <v>60</v>
      </c>
      <c r="I22" s="5" t="s">
        <v>67</v>
      </c>
      <c r="J22" s="8">
        <v>0</v>
      </c>
      <c r="K22" s="8">
        <v>0</v>
      </c>
      <c r="L22" s="8">
        <v>0</v>
      </c>
      <c r="M22" s="8">
        <v>0</v>
      </c>
      <c r="N22" s="5"/>
      <c r="O22" s="10">
        <f t="shared" si="0"/>
        <v>0</v>
      </c>
      <c r="P22" s="10">
        <f t="shared" si="1"/>
        <v>0</v>
      </c>
      <c r="Q22" s="10">
        <f t="shared" si="2"/>
        <v>0</v>
      </c>
      <c r="R22" s="10">
        <f t="shared" si="3"/>
        <v>0</v>
      </c>
      <c r="S22" s="11">
        <f t="shared" si="4"/>
        <v>0</v>
      </c>
      <c r="T22" s="11">
        <f t="shared" si="5"/>
        <v>0</v>
      </c>
      <c r="U22" s="11">
        <f t="shared" si="6"/>
        <v>0</v>
      </c>
      <c r="V22" s="10">
        <f>IF(B22="",0,INDEX(Personale!$F$6:$F$25,MATCH(B22,Personale!$A$6:$A$25,0)))</f>
        <v>0</v>
      </c>
      <c r="W22" s="11">
        <f t="shared" si="7"/>
        <v>0</v>
      </c>
      <c r="X22" s="11">
        <f t="shared" si="8"/>
        <v>0</v>
      </c>
      <c r="Y22" s="11">
        <f>IF(B22="",0,W22*INDEX(Personale!$G$6:$G$25,MATCH(B22,Personale!$A$6:$A$25,0)))</f>
        <v>0</v>
      </c>
      <c r="Z22" s="2" t="str">
        <f>IF(AND(A22&lt;&gt;"",Procedura!$B$10&lt;&gt;"Lavori",AC22=7,B22=Procedura!$B$28),"DEC DEVE ESSERE DIVERSO DAL RUP",IF(AND(ISNUMBER(D22),OR(OR(AND(Procedura!$B$10="Lavori",AC22=10),AND(Procedura!$B$10&lt;&gt;"Lavori",AC22=2)),IF(Procedura!$B$10="Lavori",OR(AC22=3,AC22=13),AC22=5)),ABS(E22-IF(IF(Procedura!$B$10="Lavori",OR(AC22=3,AC22=13),AC22=5),1,IF(Procedura!$B$29="No",1,IF(C22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FISSO",IF(AND(A22="",B22=""),"",IF(OR(A22="",B22="",C22=""),"COMPLETARE VOCE PERSONA RUOLO",IF(COUNTIFS($AA$6:$AA$105,AA22)&gt;1,"PERSONA RIPETUTA NELLA VOCE",IF(INDEX(Voci!$F$6:$F$24,MATCH(A22,Voci!$A$6:$A$24,0))&lt;&gt;"Interna","VOCE NON INTERNA",IF(OR(AND(C22="RUP",B22&lt;&gt;Procedura!$B$28),AND(C22="Responsabile fase",OR(Procedura!$B$29&lt;&gt;"Si",B22&lt;&gt;Procedura!$B$30)),AND(OR(OR(AND(Procedura!$B$10="Lavori",AC22=10),AND(Procedura!$B$10&lt;&gt;"Lavori",AC22=2)),IF(Procedura!$B$10="Lavori",OR(AC22=3,AC22=13),AC22=5)),NOT(OR(C22="RUP",AND(OR(AND(Procedura!$B$10="Lavori",AC22=10),AND(Procedura!$B$10&lt;&gt;"Lavori",AC22=2)),C22="Responsabile fase",Procedura!$B$29="Si")))),AND(IF(Procedura!$B$10="Lavori",OR(AC22=4,AC22=11,AC22=14),OR(AC22=3,AC22=6)),NOT(OR(C22="Supporto",C22="Altro",C22="Responsabile fase")))),"RUOLO NON COERENTE",IF(AND(IF(Procedura!$B$10="Lavori",OR(AC22=4,AC22=11,AC22=14),OR(AC22=3,AC22=6)),B22=Procedura!$B$28),"RUP E COLLABORAZIONE INCOMPATIBILI",IF(AND(AG22&gt;0,AG22&lt;&gt;AF22),"PESI MANUALI SOLO SU ALCUNE RIGHE",IF(AND(J22&gt;0,NOT(AND(Procedura!$B$10="Lavori",OR(AC22=5,AC22=6)))),"RITARDO PROGETTAZIONE NON PERTINENTE",IF(AND(M22&gt;0,M22&lt;5%),"CARENZE INFERIORI AL 5%",IF(AND(OR(J22&gt;0,K22&gt;0,L22&gt;0,M22&gt;0,I22="Si"),N22=""),"MOTIVARE ESCLUSIONE O RIDUZIONE",IF(AND(G22&gt;0,H22="Da verificare"),"ATTESTAZIONE DA ACQUISIRE",IF(AND(G22&gt;0,H22="Si",N22=""),"INDICARE ATTI ATTIVITA","COERENTE"))))))))))))))</f>
        <v/>
      </c>
      <c r="AA22" s="2" t="str">
        <f t="shared" si="9"/>
        <v/>
      </c>
      <c r="AB22" s="2" t="str">
        <f>IF(A22="","",INDEX(Voci!$C$6:$C$24,MATCH(A22,Voci!$A$6:$A$24,0)))</f>
        <v/>
      </c>
      <c r="AC22" s="2">
        <f>IF(A22="",0,INDEX(Voci!$B$6:$B$24,MATCH(A22,Voci!$A$6:$A$24,0)))</f>
        <v>0</v>
      </c>
      <c r="AD22" s="2">
        <f t="shared" si="10"/>
        <v>0</v>
      </c>
      <c r="AE22" s="2">
        <f t="shared" si="11"/>
        <v>0</v>
      </c>
      <c r="AF22" s="2">
        <f t="shared" si="12"/>
        <v>0</v>
      </c>
      <c r="AG22" s="2">
        <f t="shared" si="13"/>
        <v>0</v>
      </c>
      <c r="AH22">
        <f t="shared" si="14"/>
        <v>0</v>
      </c>
    </row>
    <row r="23" spans="1:34" ht="24" customHeight="1">
      <c r="A23" s="5"/>
      <c r="B23" s="5"/>
      <c r="C23" s="5"/>
      <c r="D23" s="8"/>
      <c r="E23" s="10">
        <f>IF(OR(A23="",B23=""),0,IF(ISNUMBER(D23),D23,IF(OR(AND(Procedura!$B$10="Lavori",AC23=10),AND(Procedura!$B$10&lt;&gt;"Lavori",AC23=2)),IF(Procedura!$B$29="Si",IF(C23="RUP",IF(Procedura!$B$10="Lavori",20%,IF(Voci!$M$7&gt;0,(Voci!$J$7*(1-Procedura!$B$39)+(Voci!$J$7*Procedura!$B$39-Voci!$L$7)*20%)/Voci!$M$7,0)),IF(C23="Responsabile fase",IF(Procedura!$B$10="Lavori",80%,IF(Voci!$M$7&gt;0,(Voci!$J$7*Procedura!$B$39-Voci!$L$7)*80%/Voci!$M$7,0)),0)),IF(C23="RUP",1,0)),IF(IF(Procedura!$B$10="Lavori",OR(AC23=3,AC23=13),AC23=5),IF(C23="RUP",1,0),IF(IF(Procedura!$B$10="Lavori",OR(AC23=4,AC23=11,AC23=14),OR(AC23=3,AC23=6)),IF(AND(AD23&gt;0,AE23&gt;0),IF(OR(C23="Supporto",C23="Responsabile fase"),60%/AD23,IF(C23="Altro",40%/AE23,0)),IF(AF23&gt;0,1/AF23,0)),IF(AF23&gt;0,1/AF23,0))))))</f>
        <v>0</v>
      </c>
      <c r="F23" s="11">
        <f>IF(A23="",0,INDEX(Voci!$M$6:$M$24,MATCH(A23,Voci!$A$6:$A$24,0))*E23)</f>
        <v>0</v>
      </c>
      <c r="G23" s="11">
        <f>IF(A23="",0,INDEX(Voci!$O$6:$O$24,MATCH(A23,Voci!$A$6:$A$24,0))*E23)</f>
        <v>0</v>
      </c>
      <c r="H23" s="5" t="s">
        <v>60</v>
      </c>
      <c r="I23" s="5" t="s">
        <v>67</v>
      </c>
      <c r="J23" s="8">
        <v>0</v>
      </c>
      <c r="K23" s="8">
        <v>0</v>
      </c>
      <c r="L23" s="8">
        <v>0</v>
      </c>
      <c r="M23" s="8">
        <v>0</v>
      </c>
      <c r="N23" s="5"/>
      <c r="O23" s="10">
        <f t="shared" si="0"/>
        <v>0</v>
      </c>
      <c r="P23" s="10">
        <f t="shared" si="1"/>
        <v>0</v>
      </c>
      <c r="Q23" s="10">
        <f t="shared" si="2"/>
        <v>0</v>
      </c>
      <c r="R23" s="10">
        <f t="shared" si="3"/>
        <v>0</v>
      </c>
      <c r="S23" s="11">
        <f t="shared" si="4"/>
        <v>0</v>
      </c>
      <c r="T23" s="11">
        <f t="shared" si="5"/>
        <v>0</v>
      </c>
      <c r="U23" s="11">
        <f t="shared" si="6"/>
        <v>0</v>
      </c>
      <c r="V23" s="10">
        <f>IF(B23="",0,INDEX(Personale!$F$6:$F$25,MATCH(B23,Personale!$A$6:$A$25,0)))</f>
        <v>0</v>
      </c>
      <c r="W23" s="11">
        <f t="shared" si="7"/>
        <v>0</v>
      </c>
      <c r="X23" s="11">
        <f t="shared" si="8"/>
        <v>0</v>
      </c>
      <c r="Y23" s="11">
        <f>IF(B23="",0,W23*INDEX(Personale!$G$6:$G$25,MATCH(B23,Personale!$A$6:$A$25,0)))</f>
        <v>0</v>
      </c>
      <c r="Z23" s="2" t="str">
        <f>IF(AND(A23&lt;&gt;"",Procedura!$B$10&lt;&gt;"Lavori",AC23=7,B23=Procedura!$B$28),"DEC DEVE ESSERE DIVERSO DAL RUP",IF(AND(ISNUMBER(D23),OR(OR(AND(Procedura!$B$10="Lavori",AC23=10),AND(Procedura!$B$10&lt;&gt;"Lavori",AC23=2)),IF(Procedura!$B$10="Lavori",OR(AC23=3,AC23=13),AC23=5)),ABS(E23-IF(IF(Procedura!$B$10="Lavori",OR(AC23=3,AC23=13),AC23=5),1,IF(Procedura!$B$29="No",1,IF(C23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FISSO",IF(AND(A23="",B23=""),"",IF(OR(A23="",B23="",C23=""),"COMPLETARE VOCE PERSONA RUOLO",IF(COUNTIFS($AA$6:$AA$105,AA23)&gt;1,"PERSONA RIPETUTA NELLA VOCE",IF(INDEX(Voci!$F$6:$F$24,MATCH(A23,Voci!$A$6:$A$24,0))&lt;&gt;"Interna","VOCE NON INTERNA",IF(OR(AND(C23="RUP",B23&lt;&gt;Procedura!$B$28),AND(C23="Responsabile fase",OR(Procedura!$B$29&lt;&gt;"Si",B23&lt;&gt;Procedura!$B$30)),AND(OR(OR(AND(Procedura!$B$10="Lavori",AC23=10),AND(Procedura!$B$10&lt;&gt;"Lavori",AC23=2)),IF(Procedura!$B$10="Lavori",OR(AC23=3,AC23=13),AC23=5)),NOT(OR(C23="RUP",AND(OR(AND(Procedura!$B$10="Lavori",AC23=10),AND(Procedura!$B$10&lt;&gt;"Lavori",AC23=2)),C23="Responsabile fase",Procedura!$B$29="Si")))),AND(IF(Procedura!$B$10="Lavori",OR(AC23=4,AC23=11,AC23=14),OR(AC23=3,AC23=6)),NOT(OR(C23="Supporto",C23="Altro",C23="Responsabile fase")))),"RUOLO NON COERENTE",IF(AND(IF(Procedura!$B$10="Lavori",OR(AC23=4,AC23=11,AC23=14),OR(AC23=3,AC23=6)),B23=Procedura!$B$28),"RUP E COLLABORAZIONE INCOMPATIBILI",IF(AND(AG23&gt;0,AG23&lt;&gt;AF23),"PESI MANUALI SOLO SU ALCUNE RIGHE",IF(AND(J23&gt;0,NOT(AND(Procedura!$B$10="Lavori",OR(AC23=5,AC23=6)))),"RITARDO PROGETTAZIONE NON PERTINENTE",IF(AND(M23&gt;0,M23&lt;5%),"CARENZE INFERIORI AL 5%",IF(AND(OR(J23&gt;0,K23&gt;0,L23&gt;0,M23&gt;0,I23="Si"),N23=""),"MOTIVARE ESCLUSIONE O RIDUZIONE",IF(AND(G23&gt;0,H23="Da verificare"),"ATTESTAZIONE DA ACQUISIRE",IF(AND(G23&gt;0,H23="Si",N23=""),"INDICARE ATTI ATTIVITA","COERENTE"))))))))))))))</f>
        <v/>
      </c>
      <c r="AA23" s="2" t="str">
        <f t="shared" si="9"/>
        <v/>
      </c>
      <c r="AB23" s="2" t="str">
        <f>IF(A23="","",INDEX(Voci!$C$6:$C$24,MATCH(A23,Voci!$A$6:$A$24,0)))</f>
        <v/>
      </c>
      <c r="AC23" s="2">
        <f>IF(A23="",0,INDEX(Voci!$B$6:$B$24,MATCH(A23,Voci!$A$6:$A$24,0)))</f>
        <v>0</v>
      </c>
      <c r="AD23" s="2">
        <f t="shared" si="10"/>
        <v>0</v>
      </c>
      <c r="AE23" s="2">
        <f t="shared" si="11"/>
        <v>0</v>
      </c>
      <c r="AF23" s="2">
        <f t="shared" si="12"/>
        <v>0</v>
      </c>
      <c r="AG23" s="2">
        <f t="shared" si="13"/>
        <v>0</v>
      </c>
      <c r="AH23">
        <f t="shared" si="14"/>
        <v>0</v>
      </c>
    </row>
    <row r="24" spans="1:34" ht="24" customHeight="1">
      <c r="A24" s="5"/>
      <c r="B24" s="5"/>
      <c r="C24" s="5"/>
      <c r="D24" s="8"/>
      <c r="E24" s="10">
        <f>IF(OR(A24="",B24=""),0,IF(ISNUMBER(D24),D24,IF(OR(AND(Procedura!$B$10="Lavori",AC24=10),AND(Procedura!$B$10&lt;&gt;"Lavori",AC24=2)),IF(Procedura!$B$29="Si",IF(C24="RUP",IF(Procedura!$B$10="Lavori",20%,IF(Voci!$M$7&gt;0,(Voci!$J$7*(1-Procedura!$B$39)+(Voci!$J$7*Procedura!$B$39-Voci!$L$7)*20%)/Voci!$M$7,0)),IF(C24="Responsabile fase",IF(Procedura!$B$10="Lavori",80%,IF(Voci!$M$7&gt;0,(Voci!$J$7*Procedura!$B$39-Voci!$L$7)*80%/Voci!$M$7,0)),0)),IF(C24="RUP",1,0)),IF(IF(Procedura!$B$10="Lavori",OR(AC24=3,AC24=13),AC24=5),IF(C24="RUP",1,0),IF(IF(Procedura!$B$10="Lavori",OR(AC24=4,AC24=11,AC24=14),OR(AC24=3,AC24=6)),IF(AND(AD24&gt;0,AE24&gt;0),IF(OR(C24="Supporto",C24="Responsabile fase"),60%/AD24,IF(C24="Altro",40%/AE24,0)),IF(AF24&gt;0,1/AF24,0)),IF(AF24&gt;0,1/AF24,0))))))</f>
        <v>0</v>
      </c>
      <c r="F24" s="11">
        <f>IF(A24="",0,INDEX(Voci!$M$6:$M$24,MATCH(A24,Voci!$A$6:$A$24,0))*E24)</f>
        <v>0</v>
      </c>
      <c r="G24" s="11">
        <f>IF(A24="",0,INDEX(Voci!$O$6:$O$24,MATCH(A24,Voci!$A$6:$A$24,0))*E24)</f>
        <v>0</v>
      </c>
      <c r="H24" s="5" t="s">
        <v>60</v>
      </c>
      <c r="I24" s="5" t="s">
        <v>67</v>
      </c>
      <c r="J24" s="8">
        <v>0</v>
      </c>
      <c r="K24" s="8">
        <v>0</v>
      </c>
      <c r="L24" s="8">
        <v>0</v>
      </c>
      <c r="M24" s="8">
        <v>0</v>
      </c>
      <c r="N24" s="5"/>
      <c r="O24" s="10">
        <f t="shared" si="0"/>
        <v>0</v>
      </c>
      <c r="P24" s="10">
        <f t="shared" si="1"/>
        <v>0</v>
      </c>
      <c r="Q24" s="10">
        <f t="shared" si="2"/>
        <v>0</v>
      </c>
      <c r="R24" s="10">
        <f t="shared" si="3"/>
        <v>0</v>
      </c>
      <c r="S24" s="11">
        <f t="shared" si="4"/>
        <v>0</v>
      </c>
      <c r="T24" s="11">
        <f t="shared" si="5"/>
        <v>0</v>
      </c>
      <c r="U24" s="11">
        <f t="shared" si="6"/>
        <v>0</v>
      </c>
      <c r="V24" s="10">
        <f>IF(B24="",0,INDEX(Personale!$F$6:$F$25,MATCH(B24,Personale!$A$6:$A$25,0)))</f>
        <v>0</v>
      </c>
      <c r="W24" s="11">
        <f t="shared" si="7"/>
        <v>0</v>
      </c>
      <c r="X24" s="11">
        <f t="shared" si="8"/>
        <v>0</v>
      </c>
      <c r="Y24" s="11">
        <f>IF(B24="",0,W24*INDEX(Personale!$G$6:$G$25,MATCH(B24,Personale!$A$6:$A$25,0)))</f>
        <v>0</v>
      </c>
      <c r="Z24" s="2" t="str">
        <f>IF(AND(A24&lt;&gt;"",Procedura!$B$10&lt;&gt;"Lavori",AC24=7,B24=Procedura!$B$28),"DEC DEVE ESSERE DIVERSO DAL RUP",IF(AND(ISNUMBER(D24),OR(OR(AND(Procedura!$B$10="Lavori",AC24=10),AND(Procedura!$B$10&lt;&gt;"Lavori",AC24=2)),IF(Procedura!$B$10="Lavori",OR(AC24=3,AC24=13),AC24=5)),ABS(E24-IF(IF(Procedura!$B$10="Lavori",OR(AC24=3,AC24=13),AC24=5),1,IF(Procedura!$B$29="No",1,IF(C24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FISSO",IF(AND(A24="",B24=""),"",IF(OR(A24="",B24="",C24=""),"COMPLETARE VOCE PERSONA RUOLO",IF(COUNTIFS($AA$6:$AA$105,AA24)&gt;1,"PERSONA RIPETUTA NELLA VOCE",IF(INDEX(Voci!$F$6:$F$24,MATCH(A24,Voci!$A$6:$A$24,0))&lt;&gt;"Interna","VOCE NON INTERNA",IF(OR(AND(C24="RUP",B24&lt;&gt;Procedura!$B$28),AND(C24="Responsabile fase",OR(Procedura!$B$29&lt;&gt;"Si",B24&lt;&gt;Procedura!$B$30)),AND(OR(OR(AND(Procedura!$B$10="Lavori",AC24=10),AND(Procedura!$B$10&lt;&gt;"Lavori",AC24=2)),IF(Procedura!$B$10="Lavori",OR(AC24=3,AC24=13),AC24=5)),NOT(OR(C24="RUP",AND(OR(AND(Procedura!$B$10="Lavori",AC24=10),AND(Procedura!$B$10&lt;&gt;"Lavori",AC24=2)),C24="Responsabile fase",Procedura!$B$29="Si")))),AND(IF(Procedura!$B$10="Lavori",OR(AC24=4,AC24=11,AC24=14),OR(AC24=3,AC24=6)),NOT(OR(C24="Supporto",C24="Altro",C24="Responsabile fase")))),"RUOLO NON COERENTE",IF(AND(IF(Procedura!$B$10="Lavori",OR(AC24=4,AC24=11,AC24=14),OR(AC24=3,AC24=6)),B24=Procedura!$B$28),"RUP E COLLABORAZIONE INCOMPATIBILI",IF(AND(AG24&gt;0,AG24&lt;&gt;AF24),"PESI MANUALI SOLO SU ALCUNE RIGHE",IF(AND(J24&gt;0,NOT(AND(Procedura!$B$10="Lavori",OR(AC24=5,AC24=6)))),"RITARDO PROGETTAZIONE NON PERTINENTE",IF(AND(M24&gt;0,M24&lt;5%),"CARENZE INFERIORI AL 5%",IF(AND(OR(J24&gt;0,K24&gt;0,L24&gt;0,M24&gt;0,I24="Si"),N24=""),"MOTIVARE ESCLUSIONE O RIDUZIONE",IF(AND(G24&gt;0,H24="Da verificare"),"ATTESTAZIONE DA ACQUISIRE",IF(AND(G24&gt;0,H24="Si",N24=""),"INDICARE ATTI ATTIVITA","COERENTE"))))))))))))))</f>
        <v/>
      </c>
      <c r="AA24" s="2" t="str">
        <f t="shared" si="9"/>
        <v/>
      </c>
      <c r="AB24" s="2" t="str">
        <f>IF(A24="","",INDEX(Voci!$C$6:$C$24,MATCH(A24,Voci!$A$6:$A$24,0)))</f>
        <v/>
      </c>
      <c r="AC24" s="2">
        <f>IF(A24="",0,INDEX(Voci!$B$6:$B$24,MATCH(A24,Voci!$A$6:$A$24,0)))</f>
        <v>0</v>
      </c>
      <c r="AD24" s="2">
        <f t="shared" si="10"/>
        <v>0</v>
      </c>
      <c r="AE24" s="2">
        <f t="shared" si="11"/>
        <v>0</v>
      </c>
      <c r="AF24" s="2">
        <f t="shared" si="12"/>
        <v>0</v>
      </c>
      <c r="AG24" s="2">
        <f t="shared" si="13"/>
        <v>0</v>
      </c>
      <c r="AH24">
        <f t="shared" si="14"/>
        <v>0</v>
      </c>
    </row>
    <row r="25" spans="1:34" ht="24" customHeight="1">
      <c r="A25" s="5"/>
      <c r="B25" s="5"/>
      <c r="C25" s="5"/>
      <c r="D25" s="8"/>
      <c r="E25" s="10">
        <f>IF(OR(A25="",B25=""),0,IF(ISNUMBER(D25),D25,IF(OR(AND(Procedura!$B$10="Lavori",AC25=10),AND(Procedura!$B$10&lt;&gt;"Lavori",AC25=2)),IF(Procedura!$B$29="Si",IF(C25="RUP",IF(Procedura!$B$10="Lavori",20%,IF(Voci!$M$7&gt;0,(Voci!$J$7*(1-Procedura!$B$39)+(Voci!$J$7*Procedura!$B$39-Voci!$L$7)*20%)/Voci!$M$7,0)),IF(C25="Responsabile fase",IF(Procedura!$B$10="Lavori",80%,IF(Voci!$M$7&gt;0,(Voci!$J$7*Procedura!$B$39-Voci!$L$7)*80%/Voci!$M$7,0)),0)),IF(C25="RUP",1,0)),IF(IF(Procedura!$B$10="Lavori",OR(AC25=3,AC25=13),AC25=5),IF(C25="RUP",1,0),IF(IF(Procedura!$B$10="Lavori",OR(AC25=4,AC25=11,AC25=14),OR(AC25=3,AC25=6)),IF(AND(AD25&gt;0,AE25&gt;0),IF(OR(C25="Supporto",C25="Responsabile fase"),60%/AD25,IF(C25="Altro",40%/AE25,0)),IF(AF25&gt;0,1/AF25,0)),IF(AF25&gt;0,1/AF25,0))))))</f>
        <v>0</v>
      </c>
      <c r="F25" s="11">
        <f>IF(A25="",0,INDEX(Voci!$M$6:$M$24,MATCH(A25,Voci!$A$6:$A$24,0))*E25)</f>
        <v>0</v>
      </c>
      <c r="G25" s="11">
        <f>IF(A25="",0,INDEX(Voci!$O$6:$O$24,MATCH(A25,Voci!$A$6:$A$24,0))*E25)</f>
        <v>0</v>
      </c>
      <c r="H25" s="5" t="s">
        <v>60</v>
      </c>
      <c r="I25" s="5" t="s">
        <v>67</v>
      </c>
      <c r="J25" s="8">
        <v>0</v>
      </c>
      <c r="K25" s="8">
        <v>0</v>
      </c>
      <c r="L25" s="8">
        <v>0</v>
      </c>
      <c r="M25" s="8">
        <v>0</v>
      </c>
      <c r="N25" s="5"/>
      <c r="O25" s="10">
        <f t="shared" si="0"/>
        <v>0</v>
      </c>
      <c r="P25" s="10">
        <f t="shared" si="1"/>
        <v>0</v>
      </c>
      <c r="Q25" s="10">
        <f t="shared" si="2"/>
        <v>0</v>
      </c>
      <c r="R25" s="10">
        <f t="shared" si="3"/>
        <v>0</v>
      </c>
      <c r="S25" s="11">
        <f t="shared" si="4"/>
        <v>0</v>
      </c>
      <c r="T25" s="11">
        <f t="shared" si="5"/>
        <v>0</v>
      </c>
      <c r="U25" s="11">
        <f t="shared" si="6"/>
        <v>0</v>
      </c>
      <c r="V25" s="10">
        <f>IF(B25="",0,INDEX(Personale!$F$6:$F$25,MATCH(B25,Personale!$A$6:$A$25,0)))</f>
        <v>0</v>
      </c>
      <c r="W25" s="11">
        <f t="shared" si="7"/>
        <v>0</v>
      </c>
      <c r="X25" s="11">
        <f t="shared" si="8"/>
        <v>0</v>
      </c>
      <c r="Y25" s="11">
        <f>IF(B25="",0,W25*INDEX(Personale!$G$6:$G$25,MATCH(B25,Personale!$A$6:$A$25,0)))</f>
        <v>0</v>
      </c>
      <c r="Z25" s="2" t="str">
        <f>IF(AND(A25&lt;&gt;"",Procedura!$B$10&lt;&gt;"Lavori",AC25=7,B25=Procedura!$B$28),"DEC DEVE ESSERE DIVERSO DAL RUP",IF(AND(ISNUMBER(D25),OR(OR(AND(Procedura!$B$10="Lavori",AC25=10),AND(Procedura!$B$10&lt;&gt;"Lavori",AC25=2)),IF(Procedura!$B$10="Lavori",OR(AC25=3,AC25=13),AC25=5)),ABS(E25-IF(IF(Procedura!$B$10="Lavori",OR(AC25=3,AC25=13),AC25=5),1,IF(Procedura!$B$29="No",1,IF(C25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FISSO",IF(AND(A25="",B25=""),"",IF(OR(A25="",B25="",C25=""),"COMPLETARE VOCE PERSONA RUOLO",IF(COUNTIFS($AA$6:$AA$105,AA25)&gt;1,"PERSONA RIPETUTA NELLA VOCE",IF(INDEX(Voci!$F$6:$F$24,MATCH(A25,Voci!$A$6:$A$24,0))&lt;&gt;"Interna","VOCE NON INTERNA",IF(OR(AND(C25="RUP",B25&lt;&gt;Procedura!$B$28),AND(C25="Responsabile fase",OR(Procedura!$B$29&lt;&gt;"Si",B25&lt;&gt;Procedura!$B$30)),AND(OR(OR(AND(Procedura!$B$10="Lavori",AC25=10),AND(Procedura!$B$10&lt;&gt;"Lavori",AC25=2)),IF(Procedura!$B$10="Lavori",OR(AC25=3,AC25=13),AC25=5)),NOT(OR(C25="RUP",AND(OR(AND(Procedura!$B$10="Lavori",AC25=10),AND(Procedura!$B$10&lt;&gt;"Lavori",AC25=2)),C25="Responsabile fase",Procedura!$B$29="Si")))),AND(IF(Procedura!$B$10="Lavori",OR(AC25=4,AC25=11,AC25=14),OR(AC25=3,AC25=6)),NOT(OR(C25="Supporto",C25="Altro",C25="Responsabile fase")))),"RUOLO NON COERENTE",IF(AND(IF(Procedura!$B$10="Lavori",OR(AC25=4,AC25=11,AC25=14),OR(AC25=3,AC25=6)),B25=Procedura!$B$28),"RUP E COLLABORAZIONE INCOMPATIBILI",IF(AND(AG25&gt;0,AG25&lt;&gt;AF25),"PESI MANUALI SOLO SU ALCUNE RIGHE",IF(AND(J25&gt;0,NOT(AND(Procedura!$B$10="Lavori",OR(AC25=5,AC25=6)))),"RITARDO PROGETTAZIONE NON PERTINENTE",IF(AND(M25&gt;0,M25&lt;5%),"CARENZE INFERIORI AL 5%",IF(AND(OR(J25&gt;0,K25&gt;0,L25&gt;0,M25&gt;0,I25="Si"),N25=""),"MOTIVARE ESCLUSIONE O RIDUZIONE",IF(AND(G25&gt;0,H25="Da verificare"),"ATTESTAZIONE DA ACQUISIRE",IF(AND(G25&gt;0,H25="Si",N25=""),"INDICARE ATTI ATTIVITA","COERENTE"))))))))))))))</f>
        <v/>
      </c>
      <c r="AA25" s="2" t="str">
        <f t="shared" si="9"/>
        <v/>
      </c>
      <c r="AB25" s="2" t="str">
        <f>IF(A25="","",INDEX(Voci!$C$6:$C$24,MATCH(A25,Voci!$A$6:$A$24,0)))</f>
        <v/>
      </c>
      <c r="AC25" s="2">
        <f>IF(A25="",0,INDEX(Voci!$B$6:$B$24,MATCH(A25,Voci!$A$6:$A$24,0)))</f>
        <v>0</v>
      </c>
      <c r="AD25" s="2">
        <f t="shared" si="10"/>
        <v>0</v>
      </c>
      <c r="AE25" s="2">
        <f t="shared" si="11"/>
        <v>0</v>
      </c>
      <c r="AF25" s="2">
        <f t="shared" si="12"/>
        <v>0</v>
      </c>
      <c r="AG25" s="2">
        <f t="shared" si="13"/>
        <v>0</v>
      </c>
      <c r="AH25">
        <f t="shared" si="14"/>
        <v>0</v>
      </c>
    </row>
    <row r="26" spans="1:34" ht="24" customHeight="1">
      <c r="A26" s="5"/>
      <c r="B26" s="5"/>
      <c r="C26" s="5"/>
      <c r="D26" s="8"/>
      <c r="E26" s="10">
        <f>IF(OR(A26="",B26=""),0,IF(ISNUMBER(D26),D26,IF(OR(AND(Procedura!$B$10="Lavori",AC26=10),AND(Procedura!$B$10&lt;&gt;"Lavori",AC26=2)),IF(Procedura!$B$29="Si",IF(C26="RUP",IF(Procedura!$B$10="Lavori",20%,IF(Voci!$M$7&gt;0,(Voci!$J$7*(1-Procedura!$B$39)+(Voci!$J$7*Procedura!$B$39-Voci!$L$7)*20%)/Voci!$M$7,0)),IF(C26="Responsabile fase",IF(Procedura!$B$10="Lavori",80%,IF(Voci!$M$7&gt;0,(Voci!$J$7*Procedura!$B$39-Voci!$L$7)*80%/Voci!$M$7,0)),0)),IF(C26="RUP",1,0)),IF(IF(Procedura!$B$10="Lavori",OR(AC26=3,AC26=13),AC26=5),IF(C26="RUP",1,0),IF(IF(Procedura!$B$10="Lavori",OR(AC26=4,AC26=11,AC26=14),OR(AC26=3,AC26=6)),IF(AND(AD26&gt;0,AE26&gt;0),IF(OR(C26="Supporto",C26="Responsabile fase"),60%/AD26,IF(C26="Altro",40%/AE26,0)),IF(AF26&gt;0,1/AF26,0)),IF(AF26&gt;0,1/AF26,0))))))</f>
        <v>0</v>
      </c>
      <c r="F26" s="11">
        <f>IF(A26="",0,INDEX(Voci!$M$6:$M$24,MATCH(A26,Voci!$A$6:$A$24,0))*E26)</f>
        <v>0</v>
      </c>
      <c r="G26" s="11">
        <f>IF(A26="",0,INDEX(Voci!$O$6:$O$24,MATCH(A26,Voci!$A$6:$A$24,0))*E26)</f>
        <v>0</v>
      </c>
      <c r="H26" s="5" t="s">
        <v>60</v>
      </c>
      <c r="I26" s="5" t="s">
        <v>67</v>
      </c>
      <c r="J26" s="8">
        <v>0</v>
      </c>
      <c r="K26" s="8">
        <v>0</v>
      </c>
      <c r="L26" s="8">
        <v>0</v>
      </c>
      <c r="M26" s="8">
        <v>0</v>
      </c>
      <c r="N26" s="5"/>
      <c r="O26" s="10">
        <f t="shared" si="0"/>
        <v>0</v>
      </c>
      <c r="P26" s="10">
        <f t="shared" si="1"/>
        <v>0</v>
      </c>
      <c r="Q26" s="10">
        <f t="shared" si="2"/>
        <v>0</v>
      </c>
      <c r="R26" s="10">
        <f t="shared" si="3"/>
        <v>0</v>
      </c>
      <c r="S26" s="11">
        <f t="shared" si="4"/>
        <v>0</v>
      </c>
      <c r="T26" s="11">
        <f t="shared" si="5"/>
        <v>0</v>
      </c>
      <c r="U26" s="11">
        <f t="shared" si="6"/>
        <v>0</v>
      </c>
      <c r="V26" s="10">
        <f>IF(B26="",0,INDEX(Personale!$F$6:$F$25,MATCH(B26,Personale!$A$6:$A$25,0)))</f>
        <v>0</v>
      </c>
      <c r="W26" s="11">
        <f t="shared" si="7"/>
        <v>0</v>
      </c>
      <c r="X26" s="11">
        <f t="shared" si="8"/>
        <v>0</v>
      </c>
      <c r="Y26" s="11">
        <f>IF(B26="",0,W26*INDEX(Personale!$G$6:$G$25,MATCH(B26,Personale!$A$6:$A$25,0)))</f>
        <v>0</v>
      </c>
      <c r="Z26" s="2" t="str">
        <f>IF(AND(A26&lt;&gt;"",Procedura!$B$10&lt;&gt;"Lavori",AC26=7,B26=Procedura!$B$28),"DEC DEVE ESSERE DIVERSO DAL RUP",IF(AND(ISNUMBER(D26),OR(OR(AND(Procedura!$B$10="Lavori",AC26=10),AND(Procedura!$B$10&lt;&gt;"Lavori",AC26=2)),IF(Procedura!$B$10="Lavori",OR(AC26=3,AC26=13),AC26=5)),ABS(E26-IF(IF(Procedura!$B$10="Lavori",OR(AC26=3,AC26=13),AC26=5),1,IF(Procedura!$B$29="No",1,IF(C26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FISSO",IF(AND(A26="",B26=""),"",IF(OR(A26="",B26="",C26=""),"COMPLETARE VOCE PERSONA RUOLO",IF(COUNTIFS($AA$6:$AA$105,AA26)&gt;1,"PERSONA RIPETUTA NELLA VOCE",IF(INDEX(Voci!$F$6:$F$24,MATCH(A26,Voci!$A$6:$A$24,0))&lt;&gt;"Interna","VOCE NON INTERNA",IF(OR(AND(C26="RUP",B26&lt;&gt;Procedura!$B$28),AND(C26="Responsabile fase",OR(Procedura!$B$29&lt;&gt;"Si",B26&lt;&gt;Procedura!$B$30)),AND(OR(OR(AND(Procedura!$B$10="Lavori",AC26=10),AND(Procedura!$B$10&lt;&gt;"Lavori",AC26=2)),IF(Procedura!$B$10="Lavori",OR(AC26=3,AC26=13),AC26=5)),NOT(OR(C26="RUP",AND(OR(AND(Procedura!$B$10="Lavori",AC26=10),AND(Procedura!$B$10&lt;&gt;"Lavori",AC26=2)),C26="Responsabile fase",Procedura!$B$29="Si")))),AND(IF(Procedura!$B$10="Lavori",OR(AC26=4,AC26=11,AC26=14),OR(AC26=3,AC26=6)),NOT(OR(C26="Supporto",C26="Altro",C26="Responsabile fase")))),"RUOLO NON COERENTE",IF(AND(IF(Procedura!$B$10="Lavori",OR(AC26=4,AC26=11,AC26=14),OR(AC26=3,AC26=6)),B26=Procedura!$B$28),"RUP E COLLABORAZIONE INCOMPATIBILI",IF(AND(AG26&gt;0,AG26&lt;&gt;AF26),"PESI MANUALI SOLO SU ALCUNE RIGHE",IF(AND(J26&gt;0,NOT(AND(Procedura!$B$10="Lavori",OR(AC26=5,AC26=6)))),"RITARDO PROGETTAZIONE NON PERTINENTE",IF(AND(M26&gt;0,M26&lt;5%),"CARENZE INFERIORI AL 5%",IF(AND(OR(J26&gt;0,K26&gt;0,L26&gt;0,M26&gt;0,I26="Si"),N26=""),"MOTIVARE ESCLUSIONE O RIDUZIONE",IF(AND(G26&gt;0,H26="Da verificare"),"ATTESTAZIONE DA ACQUISIRE",IF(AND(G26&gt;0,H26="Si",N26=""),"INDICARE ATTI ATTIVITA","COERENTE"))))))))))))))</f>
        <v/>
      </c>
      <c r="AA26" s="2" t="str">
        <f t="shared" si="9"/>
        <v/>
      </c>
      <c r="AB26" s="2" t="str">
        <f>IF(A26="","",INDEX(Voci!$C$6:$C$24,MATCH(A26,Voci!$A$6:$A$24,0)))</f>
        <v/>
      </c>
      <c r="AC26" s="2">
        <f>IF(A26="",0,INDEX(Voci!$B$6:$B$24,MATCH(A26,Voci!$A$6:$A$24,0)))</f>
        <v>0</v>
      </c>
      <c r="AD26" s="2">
        <f t="shared" si="10"/>
        <v>0</v>
      </c>
      <c r="AE26" s="2">
        <f t="shared" si="11"/>
        <v>0</v>
      </c>
      <c r="AF26" s="2">
        <f t="shared" si="12"/>
        <v>0</v>
      </c>
      <c r="AG26" s="2">
        <f t="shared" si="13"/>
        <v>0</v>
      </c>
      <c r="AH26">
        <f t="shared" si="14"/>
        <v>0</v>
      </c>
    </row>
    <row r="27" spans="1:34" ht="24" customHeight="1">
      <c r="A27" s="5"/>
      <c r="B27" s="5"/>
      <c r="C27" s="5"/>
      <c r="D27" s="8"/>
      <c r="E27" s="10">
        <f>IF(OR(A27="",B27=""),0,IF(ISNUMBER(D27),D27,IF(OR(AND(Procedura!$B$10="Lavori",AC27=10),AND(Procedura!$B$10&lt;&gt;"Lavori",AC27=2)),IF(Procedura!$B$29="Si",IF(C27="RUP",IF(Procedura!$B$10="Lavori",20%,IF(Voci!$M$7&gt;0,(Voci!$J$7*(1-Procedura!$B$39)+(Voci!$J$7*Procedura!$B$39-Voci!$L$7)*20%)/Voci!$M$7,0)),IF(C27="Responsabile fase",IF(Procedura!$B$10="Lavori",80%,IF(Voci!$M$7&gt;0,(Voci!$J$7*Procedura!$B$39-Voci!$L$7)*80%/Voci!$M$7,0)),0)),IF(C27="RUP",1,0)),IF(IF(Procedura!$B$10="Lavori",OR(AC27=3,AC27=13),AC27=5),IF(C27="RUP",1,0),IF(IF(Procedura!$B$10="Lavori",OR(AC27=4,AC27=11,AC27=14),OR(AC27=3,AC27=6)),IF(AND(AD27&gt;0,AE27&gt;0),IF(OR(C27="Supporto",C27="Responsabile fase"),60%/AD27,IF(C27="Altro",40%/AE27,0)),IF(AF27&gt;0,1/AF27,0)),IF(AF27&gt;0,1/AF27,0))))))</f>
        <v>0</v>
      </c>
      <c r="F27" s="11">
        <f>IF(A27="",0,INDEX(Voci!$M$6:$M$24,MATCH(A27,Voci!$A$6:$A$24,0))*E27)</f>
        <v>0</v>
      </c>
      <c r="G27" s="11">
        <f>IF(A27="",0,INDEX(Voci!$O$6:$O$24,MATCH(A27,Voci!$A$6:$A$24,0))*E27)</f>
        <v>0</v>
      </c>
      <c r="H27" s="5" t="s">
        <v>60</v>
      </c>
      <c r="I27" s="5" t="s">
        <v>67</v>
      </c>
      <c r="J27" s="8">
        <v>0</v>
      </c>
      <c r="K27" s="8">
        <v>0</v>
      </c>
      <c r="L27" s="8">
        <v>0</v>
      </c>
      <c r="M27" s="8">
        <v>0</v>
      </c>
      <c r="N27" s="5"/>
      <c r="O27" s="10">
        <f t="shared" si="0"/>
        <v>0</v>
      </c>
      <c r="P27" s="10">
        <f t="shared" si="1"/>
        <v>0</v>
      </c>
      <c r="Q27" s="10">
        <f t="shared" si="2"/>
        <v>0</v>
      </c>
      <c r="R27" s="10">
        <f t="shared" si="3"/>
        <v>0</v>
      </c>
      <c r="S27" s="11">
        <f t="shared" si="4"/>
        <v>0</v>
      </c>
      <c r="T27" s="11">
        <f t="shared" si="5"/>
        <v>0</v>
      </c>
      <c r="U27" s="11">
        <f t="shared" si="6"/>
        <v>0</v>
      </c>
      <c r="V27" s="10">
        <f>IF(B27="",0,INDEX(Personale!$F$6:$F$25,MATCH(B27,Personale!$A$6:$A$25,0)))</f>
        <v>0</v>
      </c>
      <c r="W27" s="11">
        <f t="shared" si="7"/>
        <v>0</v>
      </c>
      <c r="X27" s="11">
        <f t="shared" si="8"/>
        <v>0</v>
      </c>
      <c r="Y27" s="11">
        <f>IF(B27="",0,W27*INDEX(Personale!$G$6:$G$25,MATCH(B27,Personale!$A$6:$A$25,0)))</f>
        <v>0</v>
      </c>
      <c r="Z27" s="2" t="str">
        <f>IF(AND(A27&lt;&gt;"",Procedura!$B$10&lt;&gt;"Lavori",AC27=7,B27=Procedura!$B$28),"DEC DEVE ESSERE DIVERSO DAL RUP",IF(AND(ISNUMBER(D27),OR(OR(AND(Procedura!$B$10="Lavori",AC27=10),AND(Procedura!$B$10&lt;&gt;"Lavori",AC27=2)),IF(Procedura!$B$10="Lavori",OR(AC27=3,AC27=13),AC27=5)),ABS(E27-IF(IF(Procedura!$B$10="Lavori",OR(AC27=3,AC27=13),AC27=5),1,IF(Procedura!$B$29="No",1,IF(C27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FISSO",IF(AND(A27="",B27=""),"",IF(OR(A27="",B27="",C27=""),"COMPLETARE VOCE PERSONA RUOLO",IF(COUNTIFS($AA$6:$AA$105,AA27)&gt;1,"PERSONA RIPETUTA NELLA VOCE",IF(INDEX(Voci!$F$6:$F$24,MATCH(A27,Voci!$A$6:$A$24,0))&lt;&gt;"Interna","VOCE NON INTERNA",IF(OR(AND(C27="RUP",B27&lt;&gt;Procedura!$B$28),AND(C27="Responsabile fase",OR(Procedura!$B$29&lt;&gt;"Si",B27&lt;&gt;Procedura!$B$30)),AND(OR(OR(AND(Procedura!$B$10="Lavori",AC27=10),AND(Procedura!$B$10&lt;&gt;"Lavori",AC27=2)),IF(Procedura!$B$10="Lavori",OR(AC27=3,AC27=13),AC27=5)),NOT(OR(C27="RUP",AND(OR(AND(Procedura!$B$10="Lavori",AC27=10),AND(Procedura!$B$10&lt;&gt;"Lavori",AC27=2)),C27="Responsabile fase",Procedura!$B$29="Si")))),AND(IF(Procedura!$B$10="Lavori",OR(AC27=4,AC27=11,AC27=14),OR(AC27=3,AC27=6)),NOT(OR(C27="Supporto",C27="Altro",C27="Responsabile fase")))),"RUOLO NON COERENTE",IF(AND(IF(Procedura!$B$10="Lavori",OR(AC27=4,AC27=11,AC27=14),OR(AC27=3,AC27=6)),B27=Procedura!$B$28),"RUP E COLLABORAZIONE INCOMPATIBILI",IF(AND(AG27&gt;0,AG27&lt;&gt;AF27),"PESI MANUALI SOLO SU ALCUNE RIGHE",IF(AND(J27&gt;0,NOT(AND(Procedura!$B$10="Lavori",OR(AC27=5,AC27=6)))),"RITARDO PROGETTAZIONE NON PERTINENTE",IF(AND(M27&gt;0,M27&lt;5%),"CARENZE INFERIORI AL 5%",IF(AND(OR(J27&gt;0,K27&gt;0,L27&gt;0,M27&gt;0,I27="Si"),N27=""),"MOTIVARE ESCLUSIONE O RIDUZIONE",IF(AND(G27&gt;0,H27="Da verificare"),"ATTESTAZIONE DA ACQUISIRE",IF(AND(G27&gt;0,H27="Si",N27=""),"INDICARE ATTI ATTIVITA","COERENTE"))))))))))))))</f>
        <v/>
      </c>
      <c r="AA27" s="2" t="str">
        <f t="shared" si="9"/>
        <v/>
      </c>
      <c r="AB27" s="2" t="str">
        <f>IF(A27="","",INDEX(Voci!$C$6:$C$24,MATCH(A27,Voci!$A$6:$A$24,0)))</f>
        <v/>
      </c>
      <c r="AC27" s="2">
        <f>IF(A27="",0,INDEX(Voci!$B$6:$B$24,MATCH(A27,Voci!$A$6:$A$24,0)))</f>
        <v>0</v>
      </c>
      <c r="AD27" s="2">
        <f t="shared" si="10"/>
        <v>0</v>
      </c>
      <c r="AE27" s="2">
        <f t="shared" si="11"/>
        <v>0</v>
      </c>
      <c r="AF27" s="2">
        <f t="shared" si="12"/>
        <v>0</v>
      </c>
      <c r="AG27" s="2">
        <f t="shared" si="13"/>
        <v>0</v>
      </c>
      <c r="AH27">
        <f t="shared" si="14"/>
        <v>0</v>
      </c>
    </row>
    <row r="28" spans="1:34" ht="24" customHeight="1">
      <c r="A28" s="5"/>
      <c r="B28" s="5"/>
      <c r="C28" s="5"/>
      <c r="D28" s="8"/>
      <c r="E28" s="10">
        <f>IF(OR(A28="",B28=""),0,IF(ISNUMBER(D28),D28,IF(OR(AND(Procedura!$B$10="Lavori",AC28=10),AND(Procedura!$B$10&lt;&gt;"Lavori",AC28=2)),IF(Procedura!$B$29="Si",IF(C28="RUP",IF(Procedura!$B$10="Lavori",20%,IF(Voci!$M$7&gt;0,(Voci!$J$7*(1-Procedura!$B$39)+(Voci!$J$7*Procedura!$B$39-Voci!$L$7)*20%)/Voci!$M$7,0)),IF(C28="Responsabile fase",IF(Procedura!$B$10="Lavori",80%,IF(Voci!$M$7&gt;0,(Voci!$J$7*Procedura!$B$39-Voci!$L$7)*80%/Voci!$M$7,0)),0)),IF(C28="RUP",1,0)),IF(IF(Procedura!$B$10="Lavori",OR(AC28=3,AC28=13),AC28=5),IF(C28="RUP",1,0),IF(IF(Procedura!$B$10="Lavori",OR(AC28=4,AC28=11,AC28=14),OR(AC28=3,AC28=6)),IF(AND(AD28&gt;0,AE28&gt;0),IF(OR(C28="Supporto",C28="Responsabile fase"),60%/AD28,IF(C28="Altro",40%/AE28,0)),IF(AF28&gt;0,1/AF28,0)),IF(AF28&gt;0,1/AF28,0))))))</f>
        <v>0</v>
      </c>
      <c r="F28" s="11">
        <f>IF(A28="",0,INDEX(Voci!$M$6:$M$24,MATCH(A28,Voci!$A$6:$A$24,0))*E28)</f>
        <v>0</v>
      </c>
      <c r="G28" s="11">
        <f>IF(A28="",0,INDEX(Voci!$O$6:$O$24,MATCH(A28,Voci!$A$6:$A$24,0))*E28)</f>
        <v>0</v>
      </c>
      <c r="H28" s="5" t="s">
        <v>60</v>
      </c>
      <c r="I28" s="5" t="s">
        <v>67</v>
      </c>
      <c r="J28" s="8">
        <v>0</v>
      </c>
      <c r="K28" s="8">
        <v>0</v>
      </c>
      <c r="L28" s="8">
        <v>0</v>
      </c>
      <c r="M28" s="8">
        <v>0</v>
      </c>
      <c r="N28" s="5"/>
      <c r="O28" s="10">
        <f t="shared" si="0"/>
        <v>0</v>
      </c>
      <c r="P28" s="10">
        <f t="shared" si="1"/>
        <v>0</v>
      </c>
      <c r="Q28" s="10">
        <f t="shared" si="2"/>
        <v>0</v>
      </c>
      <c r="R28" s="10">
        <f t="shared" si="3"/>
        <v>0</v>
      </c>
      <c r="S28" s="11">
        <f t="shared" si="4"/>
        <v>0</v>
      </c>
      <c r="T28" s="11">
        <f t="shared" si="5"/>
        <v>0</v>
      </c>
      <c r="U28" s="11">
        <f t="shared" si="6"/>
        <v>0</v>
      </c>
      <c r="V28" s="10">
        <f>IF(B28="",0,INDEX(Personale!$F$6:$F$25,MATCH(B28,Personale!$A$6:$A$25,0)))</f>
        <v>0</v>
      </c>
      <c r="W28" s="11">
        <f t="shared" si="7"/>
        <v>0</v>
      </c>
      <c r="X28" s="11">
        <f t="shared" si="8"/>
        <v>0</v>
      </c>
      <c r="Y28" s="11">
        <f>IF(B28="",0,W28*INDEX(Personale!$G$6:$G$25,MATCH(B28,Personale!$A$6:$A$25,0)))</f>
        <v>0</v>
      </c>
      <c r="Z28" s="2" t="str">
        <f>IF(AND(A28&lt;&gt;"",Procedura!$B$10&lt;&gt;"Lavori",AC28=7,B28=Procedura!$B$28),"DEC DEVE ESSERE DIVERSO DAL RUP",IF(AND(ISNUMBER(D28),OR(OR(AND(Procedura!$B$10="Lavori",AC28=10),AND(Procedura!$B$10&lt;&gt;"Lavori",AC28=2)),IF(Procedura!$B$10="Lavori",OR(AC28=3,AC28=13),AC28=5)),ABS(E28-IF(IF(Procedura!$B$10="Lavori",OR(AC28=3,AC28=13),AC28=5),1,IF(Procedura!$B$29="No",1,IF(C28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FISSO",IF(AND(A28="",B28=""),"",IF(OR(A28="",B28="",C28=""),"COMPLETARE VOCE PERSONA RUOLO",IF(COUNTIFS($AA$6:$AA$105,AA28)&gt;1,"PERSONA RIPETUTA NELLA VOCE",IF(INDEX(Voci!$F$6:$F$24,MATCH(A28,Voci!$A$6:$A$24,0))&lt;&gt;"Interna","VOCE NON INTERNA",IF(OR(AND(C28="RUP",B28&lt;&gt;Procedura!$B$28),AND(C28="Responsabile fase",OR(Procedura!$B$29&lt;&gt;"Si",B28&lt;&gt;Procedura!$B$30)),AND(OR(OR(AND(Procedura!$B$10="Lavori",AC28=10),AND(Procedura!$B$10&lt;&gt;"Lavori",AC28=2)),IF(Procedura!$B$10="Lavori",OR(AC28=3,AC28=13),AC28=5)),NOT(OR(C28="RUP",AND(OR(AND(Procedura!$B$10="Lavori",AC28=10),AND(Procedura!$B$10&lt;&gt;"Lavori",AC28=2)),C28="Responsabile fase",Procedura!$B$29="Si")))),AND(IF(Procedura!$B$10="Lavori",OR(AC28=4,AC28=11,AC28=14),OR(AC28=3,AC28=6)),NOT(OR(C28="Supporto",C28="Altro",C28="Responsabile fase")))),"RUOLO NON COERENTE",IF(AND(IF(Procedura!$B$10="Lavori",OR(AC28=4,AC28=11,AC28=14),OR(AC28=3,AC28=6)),B28=Procedura!$B$28),"RUP E COLLABORAZIONE INCOMPATIBILI",IF(AND(AG28&gt;0,AG28&lt;&gt;AF28),"PESI MANUALI SOLO SU ALCUNE RIGHE",IF(AND(J28&gt;0,NOT(AND(Procedura!$B$10="Lavori",OR(AC28=5,AC28=6)))),"RITARDO PROGETTAZIONE NON PERTINENTE",IF(AND(M28&gt;0,M28&lt;5%),"CARENZE INFERIORI AL 5%",IF(AND(OR(J28&gt;0,K28&gt;0,L28&gt;0,M28&gt;0,I28="Si"),N28=""),"MOTIVARE ESCLUSIONE O RIDUZIONE",IF(AND(G28&gt;0,H28="Da verificare"),"ATTESTAZIONE DA ACQUISIRE",IF(AND(G28&gt;0,H28="Si",N28=""),"INDICARE ATTI ATTIVITA","COERENTE"))))))))))))))</f>
        <v/>
      </c>
      <c r="AA28" s="2" t="str">
        <f t="shared" si="9"/>
        <v/>
      </c>
      <c r="AB28" s="2" t="str">
        <f>IF(A28="","",INDEX(Voci!$C$6:$C$24,MATCH(A28,Voci!$A$6:$A$24,0)))</f>
        <v/>
      </c>
      <c r="AC28" s="2">
        <f>IF(A28="",0,INDEX(Voci!$B$6:$B$24,MATCH(A28,Voci!$A$6:$A$24,0)))</f>
        <v>0</v>
      </c>
      <c r="AD28" s="2">
        <f t="shared" si="10"/>
        <v>0</v>
      </c>
      <c r="AE28" s="2">
        <f t="shared" si="11"/>
        <v>0</v>
      </c>
      <c r="AF28" s="2">
        <f t="shared" si="12"/>
        <v>0</v>
      </c>
      <c r="AG28" s="2">
        <f t="shared" si="13"/>
        <v>0</v>
      </c>
      <c r="AH28">
        <f t="shared" si="14"/>
        <v>0</v>
      </c>
    </row>
    <row r="29" spans="1:34" ht="24" customHeight="1">
      <c r="A29" s="5"/>
      <c r="B29" s="5"/>
      <c r="C29" s="5"/>
      <c r="D29" s="8"/>
      <c r="E29" s="10">
        <f>IF(OR(A29="",B29=""),0,IF(ISNUMBER(D29),D29,IF(OR(AND(Procedura!$B$10="Lavori",AC29=10),AND(Procedura!$B$10&lt;&gt;"Lavori",AC29=2)),IF(Procedura!$B$29="Si",IF(C29="RUP",IF(Procedura!$B$10="Lavori",20%,IF(Voci!$M$7&gt;0,(Voci!$J$7*(1-Procedura!$B$39)+(Voci!$J$7*Procedura!$B$39-Voci!$L$7)*20%)/Voci!$M$7,0)),IF(C29="Responsabile fase",IF(Procedura!$B$10="Lavori",80%,IF(Voci!$M$7&gt;0,(Voci!$J$7*Procedura!$B$39-Voci!$L$7)*80%/Voci!$M$7,0)),0)),IF(C29="RUP",1,0)),IF(IF(Procedura!$B$10="Lavori",OR(AC29=3,AC29=13),AC29=5),IF(C29="RUP",1,0),IF(IF(Procedura!$B$10="Lavori",OR(AC29=4,AC29=11,AC29=14),OR(AC29=3,AC29=6)),IF(AND(AD29&gt;0,AE29&gt;0),IF(OR(C29="Supporto",C29="Responsabile fase"),60%/AD29,IF(C29="Altro",40%/AE29,0)),IF(AF29&gt;0,1/AF29,0)),IF(AF29&gt;0,1/AF29,0))))))</f>
        <v>0</v>
      </c>
      <c r="F29" s="11">
        <f>IF(A29="",0,INDEX(Voci!$M$6:$M$24,MATCH(A29,Voci!$A$6:$A$24,0))*E29)</f>
        <v>0</v>
      </c>
      <c r="G29" s="11">
        <f>IF(A29="",0,INDEX(Voci!$O$6:$O$24,MATCH(A29,Voci!$A$6:$A$24,0))*E29)</f>
        <v>0</v>
      </c>
      <c r="H29" s="5" t="s">
        <v>60</v>
      </c>
      <c r="I29" s="5" t="s">
        <v>67</v>
      </c>
      <c r="J29" s="8">
        <v>0</v>
      </c>
      <c r="K29" s="8">
        <v>0</v>
      </c>
      <c r="L29" s="8">
        <v>0</v>
      </c>
      <c r="M29" s="8">
        <v>0</v>
      </c>
      <c r="N29" s="5"/>
      <c r="O29" s="10">
        <f t="shared" si="0"/>
        <v>0</v>
      </c>
      <c r="P29" s="10">
        <f t="shared" si="1"/>
        <v>0</v>
      </c>
      <c r="Q29" s="10">
        <f t="shared" si="2"/>
        <v>0</v>
      </c>
      <c r="R29" s="10">
        <f t="shared" si="3"/>
        <v>0</v>
      </c>
      <c r="S29" s="11">
        <f t="shared" si="4"/>
        <v>0</v>
      </c>
      <c r="T29" s="11">
        <f t="shared" si="5"/>
        <v>0</v>
      </c>
      <c r="U29" s="11">
        <f t="shared" si="6"/>
        <v>0</v>
      </c>
      <c r="V29" s="10">
        <f>IF(B29="",0,INDEX(Personale!$F$6:$F$25,MATCH(B29,Personale!$A$6:$A$25,0)))</f>
        <v>0</v>
      </c>
      <c r="W29" s="11">
        <f t="shared" si="7"/>
        <v>0</v>
      </c>
      <c r="X29" s="11">
        <f t="shared" si="8"/>
        <v>0</v>
      </c>
      <c r="Y29" s="11">
        <f>IF(B29="",0,W29*INDEX(Personale!$G$6:$G$25,MATCH(B29,Personale!$A$6:$A$25,0)))</f>
        <v>0</v>
      </c>
      <c r="Z29" s="2" t="str">
        <f>IF(AND(A29&lt;&gt;"",Procedura!$B$10&lt;&gt;"Lavori",AC29=7,B29=Procedura!$B$28),"DEC DEVE ESSERE DIVERSO DAL RUP",IF(AND(ISNUMBER(D29),OR(OR(AND(Procedura!$B$10="Lavori",AC29=10),AND(Procedura!$B$10&lt;&gt;"Lavori",AC29=2)),IF(Procedura!$B$10="Lavori",OR(AC29=3,AC29=13),AC29=5)),ABS(E29-IF(IF(Procedura!$B$10="Lavori",OR(AC29=3,AC29=13),AC29=5),1,IF(Procedura!$B$29="No",1,IF(C29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FISSO",IF(AND(A29="",B29=""),"",IF(OR(A29="",B29="",C29=""),"COMPLETARE VOCE PERSONA RUOLO",IF(COUNTIFS($AA$6:$AA$105,AA29)&gt;1,"PERSONA RIPETUTA NELLA VOCE",IF(INDEX(Voci!$F$6:$F$24,MATCH(A29,Voci!$A$6:$A$24,0))&lt;&gt;"Interna","VOCE NON INTERNA",IF(OR(AND(C29="RUP",B29&lt;&gt;Procedura!$B$28),AND(C29="Responsabile fase",OR(Procedura!$B$29&lt;&gt;"Si",B29&lt;&gt;Procedura!$B$30)),AND(OR(OR(AND(Procedura!$B$10="Lavori",AC29=10),AND(Procedura!$B$10&lt;&gt;"Lavori",AC29=2)),IF(Procedura!$B$10="Lavori",OR(AC29=3,AC29=13),AC29=5)),NOT(OR(C29="RUP",AND(OR(AND(Procedura!$B$10="Lavori",AC29=10),AND(Procedura!$B$10&lt;&gt;"Lavori",AC29=2)),C29="Responsabile fase",Procedura!$B$29="Si")))),AND(IF(Procedura!$B$10="Lavori",OR(AC29=4,AC29=11,AC29=14),OR(AC29=3,AC29=6)),NOT(OR(C29="Supporto",C29="Altro",C29="Responsabile fase")))),"RUOLO NON COERENTE",IF(AND(IF(Procedura!$B$10="Lavori",OR(AC29=4,AC29=11,AC29=14),OR(AC29=3,AC29=6)),B29=Procedura!$B$28),"RUP E COLLABORAZIONE INCOMPATIBILI",IF(AND(AG29&gt;0,AG29&lt;&gt;AF29),"PESI MANUALI SOLO SU ALCUNE RIGHE",IF(AND(J29&gt;0,NOT(AND(Procedura!$B$10="Lavori",OR(AC29=5,AC29=6)))),"RITARDO PROGETTAZIONE NON PERTINENTE",IF(AND(M29&gt;0,M29&lt;5%),"CARENZE INFERIORI AL 5%",IF(AND(OR(J29&gt;0,K29&gt;0,L29&gt;0,M29&gt;0,I29="Si"),N29=""),"MOTIVARE ESCLUSIONE O RIDUZIONE",IF(AND(G29&gt;0,H29="Da verificare"),"ATTESTAZIONE DA ACQUISIRE",IF(AND(G29&gt;0,H29="Si",N29=""),"INDICARE ATTI ATTIVITA","COERENTE"))))))))))))))</f>
        <v/>
      </c>
      <c r="AA29" s="2" t="str">
        <f t="shared" si="9"/>
        <v/>
      </c>
      <c r="AB29" s="2" t="str">
        <f>IF(A29="","",INDEX(Voci!$C$6:$C$24,MATCH(A29,Voci!$A$6:$A$24,0)))</f>
        <v/>
      </c>
      <c r="AC29" s="2">
        <f>IF(A29="",0,INDEX(Voci!$B$6:$B$24,MATCH(A29,Voci!$A$6:$A$24,0)))</f>
        <v>0</v>
      </c>
      <c r="AD29" s="2">
        <f t="shared" si="10"/>
        <v>0</v>
      </c>
      <c r="AE29" s="2">
        <f t="shared" si="11"/>
        <v>0</v>
      </c>
      <c r="AF29" s="2">
        <f t="shared" si="12"/>
        <v>0</v>
      </c>
      <c r="AG29" s="2">
        <f t="shared" si="13"/>
        <v>0</v>
      </c>
      <c r="AH29">
        <f t="shared" si="14"/>
        <v>0</v>
      </c>
    </row>
    <row r="30" spans="1:34" ht="24" customHeight="1">
      <c r="A30" s="5"/>
      <c r="B30" s="5"/>
      <c r="C30" s="5"/>
      <c r="D30" s="8"/>
      <c r="E30" s="10">
        <f>IF(OR(A30="",B30=""),0,IF(ISNUMBER(D30),D30,IF(OR(AND(Procedura!$B$10="Lavori",AC30=10),AND(Procedura!$B$10&lt;&gt;"Lavori",AC30=2)),IF(Procedura!$B$29="Si",IF(C30="RUP",IF(Procedura!$B$10="Lavori",20%,IF(Voci!$M$7&gt;0,(Voci!$J$7*(1-Procedura!$B$39)+(Voci!$J$7*Procedura!$B$39-Voci!$L$7)*20%)/Voci!$M$7,0)),IF(C30="Responsabile fase",IF(Procedura!$B$10="Lavori",80%,IF(Voci!$M$7&gt;0,(Voci!$J$7*Procedura!$B$39-Voci!$L$7)*80%/Voci!$M$7,0)),0)),IF(C30="RUP",1,0)),IF(IF(Procedura!$B$10="Lavori",OR(AC30=3,AC30=13),AC30=5),IF(C30="RUP",1,0),IF(IF(Procedura!$B$10="Lavori",OR(AC30=4,AC30=11,AC30=14),OR(AC30=3,AC30=6)),IF(AND(AD30&gt;0,AE30&gt;0),IF(OR(C30="Supporto",C30="Responsabile fase"),60%/AD30,IF(C30="Altro",40%/AE30,0)),IF(AF30&gt;0,1/AF30,0)),IF(AF30&gt;0,1/AF30,0))))))</f>
        <v>0</v>
      </c>
      <c r="F30" s="11">
        <f>IF(A30="",0,INDEX(Voci!$M$6:$M$24,MATCH(A30,Voci!$A$6:$A$24,0))*E30)</f>
        <v>0</v>
      </c>
      <c r="G30" s="11">
        <f>IF(A30="",0,INDEX(Voci!$O$6:$O$24,MATCH(A30,Voci!$A$6:$A$24,0))*E30)</f>
        <v>0</v>
      </c>
      <c r="H30" s="5" t="s">
        <v>60</v>
      </c>
      <c r="I30" s="5" t="s">
        <v>67</v>
      </c>
      <c r="J30" s="8">
        <v>0</v>
      </c>
      <c r="K30" s="8">
        <v>0</v>
      </c>
      <c r="L30" s="8">
        <v>0</v>
      </c>
      <c r="M30" s="8">
        <v>0</v>
      </c>
      <c r="N30" s="5"/>
      <c r="O30" s="10">
        <f t="shared" si="0"/>
        <v>0</v>
      </c>
      <c r="P30" s="10">
        <f t="shared" si="1"/>
        <v>0</v>
      </c>
      <c r="Q30" s="10">
        <f t="shared" si="2"/>
        <v>0</v>
      </c>
      <c r="R30" s="10">
        <f t="shared" si="3"/>
        <v>0</v>
      </c>
      <c r="S30" s="11">
        <f t="shared" si="4"/>
        <v>0</v>
      </c>
      <c r="T30" s="11">
        <f t="shared" si="5"/>
        <v>0</v>
      </c>
      <c r="U30" s="11">
        <f t="shared" si="6"/>
        <v>0</v>
      </c>
      <c r="V30" s="10">
        <f>IF(B30="",0,INDEX(Personale!$F$6:$F$25,MATCH(B30,Personale!$A$6:$A$25,0)))</f>
        <v>0</v>
      </c>
      <c r="W30" s="11">
        <f t="shared" si="7"/>
        <v>0</v>
      </c>
      <c r="X30" s="11">
        <f t="shared" si="8"/>
        <v>0</v>
      </c>
      <c r="Y30" s="11">
        <f>IF(B30="",0,W30*INDEX(Personale!$G$6:$G$25,MATCH(B30,Personale!$A$6:$A$25,0)))</f>
        <v>0</v>
      </c>
      <c r="Z30" s="2" t="str">
        <f>IF(AND(A30&lt;&gt;"",Procedura!$B$10&lt;&gt;"Lavori",AC30=7,B30=Procedura!$B$28),"DEC DEVE ESSERE DIVERSO DAL RUP",IF(AND(ISNUMBER(D30),OR(OR(AND(Procedura!$B$10="Lavori",AC30=10),AND(Procedura!$B$10&lt;&gt;"Lavori",AC30=2)),IF(Procedura!$B$10="Lavori",OR(AC30=3,AC30=13),AC30=5)),ABS(E30-IF(IF(Procedura!$B$10="Lavori",OR(AC30=3,AC30=13),AC30=5),1,IF(Procedura!$B$29="No",1,IF(C30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FISSO",IF(AND(A30="",B30=""),"",IF(OR(A30="",B30="",C30=""),"COMPLETARE VOCE PERSONA RUOLO",IF(COUNTIFS($AA$6:$AA$105,AA30)&gt;1,"PERSONA RIPETUTA NELLA VOCE",IF(INDEX(Voci!$F$6:$F$24,MATCH(A30,Voci!$A$6:$A$24,0))&lt;&gt;"Interna","VOCE NON INTERNA",IF(OR(AND(C30="RUP",B30&lt;&gt;Procedura!$B$28),AND(C30="Responsabile fase",OR(Procedura!$B$29&lt;&gt;"Si",B30&lt;&gt;Procedura!$B$30)),AND(OR(OR(AND(Procedura!$B$10="Lavori",AC30=10),AND(Procedura!$B$10&lt;&gt;"Lavori",AC30=2)),IF(Procedura!$B$10="Lavori",OR(AC30=3,AC30=13),AC30=5)),NOT(OR(C30="RUP",AND(OR(AND(Procedura!$B$10="Lavori",AC30=10),AND(Procedura!$B$10&lt;&gt;"Lavori",AC30=2)),C30="Responsabile fase",Procedura!$B$29="Si")))),AND(IF(Procedura!$B$10="Lavori",OR(AC30=4,AC30=11,AC30=14),OR(AC30=3,AC30=6)),NOT(OR(C30="Supporto",C30="Altro",C30="Responsabile fase")))),"RUOLO NON COERENTE",IF(AND(IF(Procedura!$B$10="Lavori",OR(AC30=4,AC30=11,AC30=14),OR(AC30=3,AC30=6)),B30=Procedura!$B$28),"RUP E COLLABORAZIONE INCOMPATIBILI",IF(AND(AG30&gt;0,AG30&lt;&gt;AF30),"PESI MANUALI SOLO SU ALCUNE RIGHE",IF(AND(J30&gt;0,NOT(AND(Procedura!$B$10="Lavori",OR(AC30=5,AC30=6)))),"RITARDO PROGETTAZIONE NON PERTINENTE",IF(AND(M30&gt;0,M30&lt;5%),"CARENZE INFERIORI AL 5%",IF(AND(OR(J30&gt;0,K30&gt;0,L30&gt;0,M30&gt;0,I30="Si"),N30=""),"MOTIVARE ESCLUSIONE O RIDUZIONE",IF(AND(G30&gt;0,H30="Da verificare"),"ATTESTAZIONE DA ACQUISIRE",IF(AND(G30&gt;0,H30="Si",N30=""),"INDICARE ATTI ATTIVITA","COERENTE"))))))))))))))</f>
        <v/>
      </c>
      <c r="AA30" s="2" t="str">
        <f t="shared" si="9"/>
        <v/>
      </c>
      <c r="AB30" s="2" t="str">
        <f>IF(A30="","",INDEX(Voci!$C$6:$C$24,MATCH(A30,Voci!$A$6:$A$24,0)))</f>
        <v/>
      </c>
      <c r="AC30" s="2">
        <f>IF(A30="",0,INDEX(Voci!$B$6:$B$24,MATCH(A30,Voci!$A$6:$A$24,0)))</f>
        <v>0</v>
      </c>
      <c r="AD30" s="2">
        <f t="shared" si="10"/>
        <v>0</v>
      </c>
      <c r="AE30" s="2">
        <f t="shared" si="11"/>
        <v>0</v>
      </c>
      <c r="AF30" s="2">
        <f t="shared" si="12"/>
        <v>0</v>
      </c>
      <c r="AG30" s="2">
        <f t="shared" si="13"/>
        <v>0</v>
      </c>
      <c r="AH30">
        <f t="shared" si="14"/>
        <v>0</v>
      </c>
    </row>
    <row r="31" spans="1:34" ht="24" customHeight="1">
      <c r="A31" s="5"/>
      <c r="B31" s="5"/>
      <c r="C31" s="5"/>
      <c r="D31" s="8"/>
      <c r="E31" s="10">
        <f>IF(OR(A31="",B31=""),0,IF(ISNUMBER(D31),D31,IF(OR(AND(Procedura!$B$10="Lavori",AC31=10),AND(Procedura!$B$10&lt;&gt;"Lavori",AC31=2)),IF(Procedura!$B$29="Si",IF(C31="RUP",IF(Procedura!$B$10="Lavori",20%,IF(Voci!$M$7&gt;0,(Voci!$J$7*(1-Procedura!$B$39)+(Voci!$J$7*Procedura!$B$39-Voci!$L$7)*20%)/Voci!$M$7,0)),IF(C31="Responsabile fase",IF(Procedura!$B$10="Lavori",80%,IF(Voci!$M$7&gt;0,(Voci!$J$7*Procedura!$B$39-Voci!$L$7)*80%/Voci!$M$7,0)),0)),IF(C31="RUP",1,0)),IF(IF(Procedura!$B$10="Lavori",OR(AC31=3,AC31=13),AC31=5),IF(C31="RUP",1,0),IF(IF(Procedura!$B$10="Lavori",OR(AC31=4,AC31=11,AC31=14),OR(AC31=3,AC31=6)),IF(AND(AD31&gt;0,AE31&gt;0),IF(OR(C31="Supporto",C31="Responsabile fase"),60%/AD31,IF(C31="Altro",40%/AE31,0)),IF(AF31&gt;0,1/AF31,0)),IF(AF31&gt;0,1/AF31,0))))))</f>
        <v>0</v>
      </c>
      <c r="F31" s="11">
        <f>IF(A31="",0,INDEX(Voci!$M$6:$M$24,MATCH(A31,Voci!$A$6:$A$24,0))*E31)</f>
        <v>0</v>
      </c>
      <c r="G31" s="11">
        <f>IF(A31="",0,INDEX(Voci!$O$6:$O$24,MATCH(A31,Voci!$A$6:$A$24,0))*E31)</f>
        <v>0</v>
      </c>
      <c r="H31" s="5" t="s">
        <v>60</v>
      </c>
      <c r="I31" s="5" t="s">
        <v>67</v>
      </c>
      <c r="J31" s="8">
        <v>0</v>
      </c>
      <c r="K31" s="8">
        <v>0</v>
      </c>
      <c r="L31" s="8">
        <v>0</v>
      </c>
      <c r="M31" s="8">
        <v>0</v>
      </c>
      <c r="N31" s="5"/>
      <c r="O31" s="10">
        <f t="shared" si="0"/>
        <v>0</v>
      </c>
      <c r="P31" s="10">
        <f t="shared" si="1"/>
        <v>0</v>
      </c>
      <c r="Q31" s="10">
        <f t="shared" si="2"/>
        <v>0</v>
      </c>
      <c r="R31" s="10">
        <f t="shared" si="3"/>
        <v>0</v>
      </c>
      <c r="S31" s="11">
        <f t="shared" si="4"/>
        <v>0</v>
      </c>
      <c r="T31" s="11">
        <f t="shared" si="5"/>
        <v>0</v>
      </c>
      <c r="U31" s="11">
        <f t="shared" si="6"/>
        <v>0</v>
      </c>
      <c r="V31" s="10">
        <f>IF(B31="",0,INDEX(Personale!$F$6:$F$25,MATCH(B31,Personale!$A$6:$A$25,0)))</f>
        <v>0</v>
      </c>
      <c r="W31" s="11">
        <f t="shared" si="7"/>
        <v>0</v>
      </c>
      <c r="X31" s="11">
        <f t="shared" si="8"/>
        <v>0</v>
      </c>
      <c r="Y31" s="11">
        <f>IF(B31="",0,W31*INDEX(Personale!$G$6:$G$25,MATCH(B31,Personale!$A$6:$A$25,0)))</f>
        <v>0</v>
      </c>
      <c r="Z31" s="2" t="str">
        <f>IF(AND(A31&lt;&gt;"",Procedura!$B$10&lt;&gt;"Lavori",AC31=7,B31=Procedura!$B$28),"DEC DEVE ESSERE DIVERSO DAL RUP",IF(AND(ISNUMBER(D31),OR(OR(AND(Procedura!$B$10="Lavori",AC31=10),AND(Procedura!$B$10&lt;&gt;"Lavori",AC31=2)),IF(Procedura!$B$10="Lavori",OR(AC31=3,AC31=13),AC31=5)),ABS(E31-IF(IF(Procedura!$B$10="Lavori",OR(AC31=3,AC31=13),AC31=5),1,IF(Procedura!$B$29="No",1,IF(C31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FISSO",IF(AND(A31="",B31=""),"",IF(OR(A31="",B31="",C31=""),"COMPLETARE VOCE PERSONA RUOLO",IF(COUNTIFS($AA$6:$AA$105,AA31)&gt;1,"PERSONA RIPETUTA NELLA VOCE",IF(INDEX(Voci!$F$6:$F$24,MATCH(A31,Voci!$A$6:$A$24,0))&lt;&gt;"Interna","VOCE NON INTERNA",IF(OR(AND(C31="RUP",B31&lt;&gt;Procedura!$B$28),AND(C31="Responsabile fase",OR(Procedura!$B$29&lt;&gt;"Si",B31&lt;&gt;Procedura!$B$30)),AND(OR(OR(AND(Procedura!$B$10="Lavori",AC31=10),AND(Procedura!$B$10&lt;&gt;"Lavori",AC31=2)),IF(Procedura!$B$10="Lavori",OR(AC31=3,AC31=13),AC31=5)),NOT(OR(C31="RUP",AND(OR(AND(Procedura!$B$10="Lavori",AC31=10),AND(Procedura!$B$10&lt;&gt;"Lavori",AC31=2)),C31="Responsabile fase",Procedura!$B$29="Si")))),AND(IF(Procedura!$B$10="Lavori",OR(AC31=4,AC31=11,AC31=14),OR(AC31=3,AC31=6)),NOT(OR(C31="Supporto",C31="Altro",C31="Responsabile fase")))),"RUOLO NON COERENTE",IF(AND(IF(Procedura!$B$10="Lavori",OR(AC31=4,AC31=11,AC31=14),OR(AC31=3,AC31=6)),B31=Procedura!$B$28),"RUP E COLLABORAZIONE INCOMPATIBILI",IF(AND(AG31&gt;0,AG31&lt;&gt;AF31),"PESI MANUALI SOLO SU ALCUNE RIGHE",IF(AND(J31&gt;0,NOT(AND(Procedura!$B$10="Lavori",OR(AC31=5,AC31=6)))),"RITARDO PROGETTAZIONE NON PERTINENTE",IF(AND(M31&gt;0,M31&lt;5%),"CARENZE INFERIORI AL 5%",IF(AND(OR(J31&gt;0,K31&gt;0,L31&gt;0,M31&gt;0,I31="Si"),N31=""),"MOTIVARE ESCLUSIONE O RIDUZIONE",IF(AND(G31&gt;0,H31="Da verificare"),"ATTESTAZIONE DA ACQUISIRE",IF(AND(G31&gt;0,H31="Si",N31=""),"INDICARE ATTI ATTIVITA","COERENTE"))))))))))))))</f>
        <v/>
      </c>
      <c r="AA31" s="2" t="str">
        <f t="shared" si="9"/>
        <v/>
      </c>
      <c r="AB31" s="2" t="str">
        <f>IF(A31="","",INDEX(Voci!$C$6:$C$24,MATCH(A31,Voci!$A$6:$A$24,0)))</f>
        <v/>
      </c>
      <c r="AC31" s="2">
        <f>IF(A31="",0,INDEX(Voci!$B$6:$B$24,MATCH(A31,Voci!$A$6:$A$24,0)))</f>
        <v>0</v>
      </c>
      <c r="AD31" s="2">
        <f t="shared" si="10"/>
        <v>0</v>
      </c>
      <c r="AE31" s="2">
        <f t="shared" si="11"/>
        <v>0</v>
      </c>
      <c r="AF31" s="2">
        <f t="shared" si="12"/>
        <v>0</v>
      </c>
      <c r="AG31" s="2">
        <f t="shared" si="13"/>
        <v>0</v>
      </c>
      <c r="AH31">
        <f t="shared" si="14"/>
        <v>0</v>
      </c>
    </row>
    <row r="32" spans="1:34" ht="24" customHeight="1">
      <c r="A32" s="5"/>
      <c r="B32" s="5"/>
      <c r="C32" s="5"/>
      <c r="D32" s="8"/>
      <c r="E32" s="10">
        <f>IF(OR(A32="",B32=""),0,IF(ISNUMBER(D32),D32,IF(OR(AND(Procedura!$B$10="Lavori",AC32=10),AND(Procedura!$B$10&lt;&gt;"Lavori",AC32=2)),IF(Procedura!$B$29="Si",IF(C32="RUP",IF(Procedura!$B$10="Lavori",20%,IF(Voci!$M$7&gt;0,(Voci!$J$7*(1-Procedura!$B$39)+(Voci!$J$7*Procedura!$B$39-Voci!$L$7)*20%)/Voci!$M$7,0)),IF(C32="Responsabile fase",IF(Procedura!$B$10="Lavori",80%,IF(Voci!$M$7&gt;0,(Voci!$J$7*Procedura!$B$39-Voci!$L$7)*80%/Voci!$M$7,0)),0)),IF(C32="RUP",1,0)),IF(IF(Procedura!$B$10="Lavori",OR(AC32=3,AC32=13),AC32=5),IF(C32="RUP",1,0),IF(IF(Procedura!$B$10="Lavori",OR(AC32=4,AC32=11,AC32=14),OR(AC32=3,AC32=6)),IF(AND(AD32&gt;0,AE32&gt;0),IF(OR(C32="Supporto",C32="Responsabile fase"),60%/AD32,IF(C32="Altro",40%/AE32,0)),IF(AF32&gt;0,1/AF32,0)),IF(AF32&gt;0,1/AF32,0))))))</f>
        <v>0</v>
      </c>
      <c r="F32" s="11">
        <f>IF(A32="",0,INDEX(Voci!$M$6:$M$24,MATCH(A32,Voci!$A$6:$A$24,0))*E32)</f>
        <v>0</v>
      </c>
      <c r="G32" s="11">
        <f>IF(A32="",0,INDEX(Voci!$O$6:$O$24,MATCH(A32,Voci!$A$6:$A$24,0))*E32)</f>
        <v>0</v>
      </c>
      <c r="H32" s="5" t="s">
        <v>60</v>
      </c>
      <c r="I32" s="5" t="s">
        <v>67</v>
      </c>
      <c r="J32" s="8">
        <v>0</v>
      </c>
      <c r="K32" s="8">
        <v>0</v>
      </c>
      <c r="L32" s="8">
        <v>0</v>
      </c>
      <c r="M32" s="8">
        <v>0</v>
      </c>
      <c r="N32" s="5"/>
      <c r="O32" s="10">
        <f t="shared" si="0"/>
        <v>0</v>
      </c>
      <c r="P32" s="10">
        <f t="shared" si="1"/>
        <v>0</v>
      </c>
      <c r="Q32" s="10">
        <f t="shared" si="2"/>
        <v>0</v>
      </c>
      <c r="R32" s="10">
        <f t="shared" si="3"/>
        <v>0</v>
      </c>
      <c r="S32" s="11">
        <f t="shared" si="4"/>
        <v>0</v>
      </c>
      <c r="T32" s="11">
        <f t="shared" si="5"/>
        <v>0</v>
      </c>
      <c r="U32" s="11">
        <f t="shared" si="6"/>
        <v>0</v>
      </c>
      <c r="V32" s="10">
        <f>IF(B32="",0,INDEX(Personale!$F$6:$F$25,MATCH(B32,Personale!$A$6:$A$25,0)))</f>
        <v>0</v>
      </c>
      <c r="W32" s="11">
        <f t="shared" si="7"/>
        <v>0</v>
      </c>
      <c r="X32" s="11">
        <f t="shared" si="8"/>
        <v>0</v>
      </c>
      <c r="Y32" s="11">
        <f>IF(B32="",0,W32*INDEX(Personale!$G$6:$G$25,MATCH(B32,Personale!$A$6:$A$25,0)))</f>
        <v>0</v>
      </c>
      <c r="Z32" s="2" t="str">
        <f>IF(AND(A32&lt;&gt;"",Procedura!$B$10&lt;&gt;"Lavori",AC32=7,B32=Procedura!$B$28),"DEC DEVE ESSERE DIVERSO DAL RUP",IF(AND(ISNUMBER(D32),OR(OR(AND(Procedura!$B$10="Lavori",AC32=10),AND(Procedura!$B$10&lt;&gt;"Lavori",AC32=2)),IF(Procedura!$B$10="Lavori",OR(AC32=3,AC32=13),AC32=5)),ABS(E32-IF(IF(Procedura!$B$10="Lavori",OR(AC32=3,AC32=13),AC32=5),1,IF(Procedura!$B$29="No",1,IF(C32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FISSO",IF(AND(A32="",B32=""),"",IF(OR(A32="",B32="",C32=""),"COMPLETARE VOCE PERSONA RUOLO",IF(COUNTIFS($AA$6:$AA$105,AA32)&gt;1,"PERSONA RIPETUTA NELLA VOCE",IF(INDEX(Voci!$F$6:$F$24,MATCH(A32,Voci!$A$6:$A$24,0))&lt;&gt;"Interna","VOCE NON INTERNA",IF(OR(AND(C32="RUP",B32&lt;&gt;Procedura!$B$28),AND(C32="Responsabile fase",OR(Procedura!$B$29&lt;&gt;"Si",B32&lt;&gt;Procedura!$B$30)),AND(OR(OR(AND(Procedura!$B$10="Lavori",AC32=10),AND(Procedura!$B$10&lt;&gt;"Lavori",AC32=2)),IF(Procedura!$B$10="Lavori",OR(AC32=3,AC32=13),AC32=5)),NOT(OR(C32="RUP",AND(OR(AND(Procedura!$B$10="Lavori",AC32=10),AND(Procedura!$B$10&lt;&gt;"Lavori",AC32=2)),C32="Responsabile fase",Procedura!$B$29="Si")))),AND(IF(Procedura!$B$10="Lavori",OR(AC32=4,AC32=11,AC32=14),OR(AC32=3,AC32=6)),NOT(OR(C32="Supporto",C32="Altro",C32="Responsabile fase")))),"RUOLO NON COERENTE",IF(AND(IF(Procedura!$B$10="Lavori",OR(AC32=4,AC32=11,AC32=14),OR(AC32=3,AC32=6)),B32=Procedura!$B$28),"RUP E COLLABORAZIONE INCOMPATIBILI",IF(AND(AG32&gt;0,AG32&lt;&gt;AF32),"PESI MANUALI SOLO SU ALCUNE RIGHE",IF(AND(J32&gt;0,NOT(AND(Procedura!$B$10="Lavori",OR(AC32=5,AC32=6)))),"RITARDO PROGETTAZIONE NON PERTINENTE",IF(AND(M32&gt;0,M32&lt;5%),"CARENZE INFERIORI AL 5%",IF(AND(OR(J32&gt;0,K32&gt;0,L32&gt;0,M32&gt;0,I32="Si"),N32=""),"MOTIVARE ESCLUSIONE O RIDUZIONE",IF(AND(G32&gt;0,H32="Da verificare"),"ATTESTAZIONE DA ACQUISIRE",IF(AND(G32&gt;0,H32="Si",N32=""),"INDICARE ATTI ATTIVITA","COERENTE"))))))))))))))</f>
        <v/>
      </c>
      <c r="AA32" s="2" t="str">
        <f t="shared" si="9"/>
        <v/>
      </c>
      <c r="AB32" s="2" t="str">
        <f>IF(A32="","",INDEX(Voci!$C$6:$C$24,MATCH(A32,Voci!$A$6:$A$24,0)))</f>
        <v/>
      </c>
      <c r="AC32" s="2">
        <f>IF(A32="",0,INDEX(Voci!$B$6:$B$24,MATCH(A32,Voci!$A$6:$A$24,0)))</f>
        <v>0</v>
      </c>
      <c r="AD32" s="2">
        <f t="shared" si="10"/>
        <v>0</v>
      </c>
      <c r="AE32" s="2">
        <f t="shared" si="11"/>
        <v>0</v>
      </c>
      <c r="AF32" s="2">
        <f t="shared" si="12"/>
        <v>0</v>
      </c>
      <c r="AG32" s="2">
        <f t="shared" si="13"/>
        <v>0</v>
      </c>
      <c r="AH32">
        <f t="shared" si="14"/>
        <v>0</v>
      </c>
    </row>
    <row r="33" spans="1:34" ht="24" customHeight="1">
      <c r="A33" s="5"/>
      <c r="B33" s="5"/>
      <c r="C33" s="5"/>
      <c r="D33" s="8"/>
      <c r="E33" s="10">
        <f>IF(OR(A33="",B33=""),0,IF(ISNUMBER(D33),D33,IF(OR(AND(Procedura!$B$10="Lavori",AC33=10),AND(Procedura!$B$10&lt;&gt;"Lavori",AC33=2)),IF(Procedura!$B$29="Si",IF(C33="RUP",IF(Procedura!$B$10="Lavori",20%,IF(Voci!$M$7&gt;0,(Voci!$J$7*(1-Procedura!$B$39)+(Voci!$J$7*Procedura!$B$39-Voci!$L$7)*20%)/Voci!$M$7,0)),IF(C33="Responsabile fase",IF(Procedura!$B$10="Lavori",80%,IF(Voci!$M$7&gt;0,(Voci!$J$7*Procedura!$B$39-Voci!$L$7)*80%/Voci!$M$7,0)),0)),IF(C33="RUP",1,0)),IF(IF(Procedura!$B$10="Lavori",OR(AC33=3,AC33=13),AC33=5),IF(C33="RUP",1,0),IF(IF(Procedura!$B$10="Lavori",OR(AC33=4,AC33=11,AC33=14),OR(AC33=3,AC33=6)),IF(AND(AD33&gt;0,AE33&gt;0),IF(OR(C33="Supporto",C33="Responsabile fase"),60%/AD33,IF(C33="Altro",40%/AE33,0)),IF(AF33&gt;0,1/AF33,0)),IF(AF33&gt;0,1/AF33,0))))))</f>
        <v>0</v>
      </c>
      <c r="F33" s="11">
        <f>IF(A33="",0,INDEX(Voci!$M$6:$M$24,MATCH(A33,Voci!$A$6:$A$24,0))*E33)</f>
        <v>0</v>
      </c>
      <c r="G33" s="11">
        <f>IF(A33="",0,INDEX(Voci!$O$6:$O$24,MATCH(A33,Voci!$A$6:$A$24,0))*E33)</f>
        <v>0</v>
      </c>
      <c r="H33" s="5" t="s">
        <v>60</v>
      </c>
      <c r="I33" s="5" t="s">
        <v>67</v>
      </c>
      <c r="J33" s="8">
        <v>0</v>
      </c>
      <c r="K33" s="8">
        <v>0</v>
      </c>
      <c r="L33" s="8">
        <v>0</v>
      </c>
      <c r="M33" s="8">
        <v>0</v>
      </c>
      <c r="N33" s="5"/>
      <c r="O33" s="10">
        <f t="shared" si="0"/>
        <v>0</v>
      </c>
      <c r="P33" s="10">
        <f t="shared" si="1"/>
        <v>0</v>
      </c>
      <c r="Q33" s="10">
        <f t="shared" si="2"/>
        <v>0</v>
      </c>
      <c r="R33" s="10">
        <f t="shared" si="3"/>
        <v>0</v>
      </c>
      <c r="S33" s="11">
        <f t="shared" si="4"/>
        <v>0</v>
      </c>
      <c r="T33" s="11">
        <f t="shared" si="5"/>
        <v>0</v>
      </c>
      <c r="U33" s="11">
        <f t="shared" si="6"/>
        <v>0</v>
      </c>
      <c r="V33" s="10">
        <f>IF(B33="",0,INDEX(Personale!$F$6:$F$25,MATCH(B33,Personale!$A$6:$A$25,0)))</f>
        <v>0</v>
      </c>
      <c r="W33" s="11">
        <f t="shared" si="7"/>
        <v>0</v>
      </c>
      <c r="X33" s="11">
        <f t="shared" si="8"/>
        <v>0</v>
      </c>
      <c r="Y33" s="11">
        <f>IF(B33="",0,W33*INDEX(Personale!$G$6:$G$25,MATCH(B33,Personale!$A$6:$A$25,0)))</f>
        <v>0</v>
      </c>
      <c r="Z33" s="2" t="str">
        <f>IF(AND(A33&lt;&gt;"",Procedura!$B$10&lt;&gt;"Lavori",AC33=7,B33=Procedura!$B$28),"DEC DEVE ESSERE DIVERSO DAL RUP",IF(AND(ISNUMBER(D33),OR(OR(AND(Procedura!$B$10="Lavori",AC33=10),AND(Procedura!$B$10&lt;&gt;"Lavori",AC33=2)),IF(Procedura!$B$10="Lavori",OR(AC33=3,AC33=13),AC33=5)),ABS(E33-IF(IF(Procedura!$B$10="Lavori",OR(AC33=3,AC33=13),AC33=5),1,IF(Procedura!$B$29="No",1,IF(C33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FISSO",IF(AND(A33="",B33=""),"",IF(OR(A33="",B33="",C33=""),"COMPLETARE VOCE PERSONA RUOLO",IF(COUNTIFS($AA$6:$AA$105,AA33)&gt;1,"PERSONA RIPETUTA NELLA VOCE",IF(INDEX(Voci!$F$6:$F$24,MATCH(A33,Voci!$A$6:$A$24,0))&lt;&gt;"Interna","VOCE NON INTERNA",IF(OR(AND(C33="RUP",B33&lt;&gt;Procedura!$B$28),AND(C33="Responsabile fase",OR(Procedura!$B$29&lt;&gt;"Si",B33&lt;&gt;Procedura!$B$30)),AND(OR(OR(AND(Procedura!$B$10="Lavori",AC33=10),AND(Procedura!$B$10&lt;&gt;"Lavori",AC33=2)),IF(Procedura!$B$10="Lavori",OR(AC33=3,AC33=13),AC33=5)),NOT(OR(C33="RUP",AND(OR(AND(Procedura!$B$10="Lavori",AC33=10),AND(Procedura!$B$10&lt;&gt;"Lavori",AC33=2)),C33="Responsabile fase",Procedura!$B$29="Si")))),AND(IF(Procedura!$B$10="Lavori",OR(AC33=4,AC33=11,AC33=14),OR(AC33=3,AC33=6)),NOT(OR(C33="Supporto",C33="Altro",C33="Responsabile fase")))),"RUOLO NON COERENTE",IF(AND(IF(Procedura!$B$10="Lavori",OR(AC33=4,AC33=11,AC33=14),OR(AC33=3,AC33=6)),B33=Procedura!$B$28),"RUP E COLLABORAZIONE INCOMPATIBILI",IF(AND(AG33&gt;0,AG33&lt;&gt;AF33),"PESI MANUALI SOLO SU ALCUNE RIGHE",IF(AND(J33&gt;0,NOT(AND(Procedura!$B$10="Lavori",OR(AC33=5,AC33=6)))),"RITARDO PROGETTAZIONE NON PERTINENTE",IF(AND(M33&gt;0,M33&lt;5%),"CARENZE INFERIORI AL 5%",IF(AND(OR(J33&gt;0,K33&gt;0,L33&gt;0,M33&gt;0,I33="Si"),N33=""),"MOTIVARE ESCLUSIONE O RIDUZIONE",IF(AND(G33&gt;0,H33="Da verificare"),"ATTESTAZIONE DA ACQUISIRE",IF(AND(G33&gt;0,H33="Si",N33=""),"INDICARE ATTI ATTIVITA","COERENTE"))))))))))))))</f>
        <v/>
      </c>
      <c r="AA33" s="2" t="str">
        <f t="shared" si="9"/>
        <v/>
      </c>
      <c r="AB33" s="2" t="str">
        <f>IF(A33="","",INDEX(Voci!$C$6:$C$24,MATCH(A33,Voci!$A$6:$A$24,0)))</f>
        <v/>
      </c>
      <c r="AC33" s="2">
        <f>IF(A33="",0,INDEX(Voci!$B$6:$B$24,MATCH(A33,Voci!$A$6:$A$24,0)))</f>
        <v>0</v>
      </c>
      <c r="AD33" s="2">
        <f t="shared" si="10"/>
        <v>0</v>
      </c>
      <c r="AE33" s="2">
        <f t="shared" si="11"/>
        <v>0</v>
      </c>
      <c r="AF33" s="2">
        <f t="shared" si="12"/>
        <v>0</v>
      </c>
      <c r="AG33" s="2">
        <f t="shared" si="13"/>
        <v>0</v>
      </c>
      <c r="AH33">
        <f t="shared" si="14"/>
        <v>0</v>
      </c>
    </row>
    <row r="34" spans="1:34" ht="24" customHeight="1">
      <c r="A34" s="5"/>
      <c r="B34" s="5"/>
      <c r="C34" s="5"/>
      <c r="D34" s="8"/>
      <c r="E34" s="10">
        <f>IF(OR(A34="",B34=""),0,IF(ISNUMBER(D34),D34,IF(OR(AND(Procedura!$B$10="Lavori",AC34=10),AND(Procedura!$B$10&lt;&gt;"Lavori",AC34=2)),IF(Procedura!$B$29="Si",IF(C34="RUP",IF(Procedura!$B$10="Lavori",20%,IF(Voci!$M$7&gt;0,(Voci!$J$7*(1-Procedura!$B$39)+(Voci!$J$7*Procedura!$B$39-Voci!$L$7)*20%)/Voci!$M$7,0)),IF(C34="Responsabile fase",IF(Procedura!$B$10="Lavori",80%,IF(Voci!$M$7&gt;0,(Voci!$J$7*Procedura!$B$39-Voci!$L$7)*80%/Voci!$M$7,0)),0)),IF(C34="RUP",1,0)),IF(IF(Procedura!$B$10="Lavori",OR(AC34=3,AC34=13),AC34=5),IF(C34="RUP",1,0),IF(IF(Procedura!$B$10="Lavori",OR(AC34=4,AC34=11,AC34=14),OR(AC34=3,AC34=6)),IF(AND(AD34&gt;0,AE34&gt;0),IF(OR(C34="Supporto",C34="Responsabile fase"),60%/AD34,IF(C34="Altro",40%/AE34,0)),IF(AF34&gt;0,1/AF34,0)),IF(AF34&gt;0,1/AF34,0))))))</f>
        <v>0</v>
      </c>
      <c r="F34" s="11">
        <f>IF(A34="",0,INDEX(Voci!$M$6:$M$24,MATCH(A34,Voci!$A$6:$A$24,0))*E34)</f>
        <v>0</v>
      </c>
      <c r="G34" s="11">
        <f>IF(A34="",0,INDEX(Voci!$O$6:$O$24,MATCH(A34,Voci!$A$6:$A$24,0))*E34)</f>
        <v>0</v>
      </c>
      <c r="H34" s="5" t="s">
        <v>60</v>
      </c>
      <c r="I34" s="5" t="s">
        <v>67</v>
      </c>
      <c r="J34" s="8">
        <v>0</v>
      </c>
      <c r="K34" s="8">
        <v>0</v>
      </c>
      <c r="L34" s="8">
        <v>0</v>
      </c>
      <c r="M34" s="8">
        <v>0</v>
      </c>
      <c r="N34" s="5"/>
      <c r="O34" s="10">
        <f t="shared" si="0"/>
        <v>0</v>
      </c>
      <c r="P34" s="10">
        <f t="shared" si="1"/>
        <v>0</v>
      </c>
      <c r="Q34" s="10">
        <f t="shared" si="2"/>
        <v>0</v>
      </c>
      <c r="R34" s="10">
        <f t="shared" si="3"/>
        <v>0</v>
      </c>
      <c r="S34" s="11">
        <f t="shared" si="4"/>
        <v>0</v>
      </c>
      <c r="T34" s="11">
        <f t="shared" si="5"/>
        <v>0</v>
      </c>
      <c r="U34" s="11">
        <f t="shared" si="6"/>
        <v>0</v>
      </c>
      <c r="V34" s="10">
        <f>IF(B34="",0,INDEX(Personale!$F$6:$F$25,MATCH(B34,Personale!$A$6:$A$25,0)))</f>
        <v>0</v>
      </c>
      <c r="W34" s="11">
        <f t="shared" si="7"/>
        <v>0</v>
      </c>
      <c r="X34" s="11">
        <f t="shared" si="8"/>
        <v>0</v>
      </c>
      <c r="Y34" s="11">
        <f>IF(B34="",0,W34*INDEX(Personale!$G$6:$G$25,MATCH(B34,Personale!$A$6:$A$25,0)))</f>
        <v>0</v>
      </c>
      <c r="Z34" s="2" t="str">
        <f>IF(AND(A34&lt;&gt;"",Procedura!$B$10&lt;&gt;"Lavori",AC34=7,B34=Procedura!$B$28),"DEC DEVE ESSERE DIVERSO DAL RUP",IF(AND(ISNUMBER(D34),OR(OR(AND(Procedura!$B$10="Lavori",AC34=10),AND(Procedura!$B$10&lt;&gt;"Lavori",AC34=2)),IF(Procedura!$B$10="Lavori",OR(AC34=3,AC34=13),AC34=5)),ABS(E34-IF(IF(Procedura!$B$10="Lavori",OR(AC34=3,AC34=13),AC34=5),1,IF(Procedura!$B$29="No",1,IF(C34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FISSO",IF(AND(A34="",B34=""),"",IF(OR(A34="",B34="",C34=""),"COMPLETARE VOCE PERSONA RUOLO",IF(COUNTIFS($AA$6:$AA$105,AA34)&gt;1,"PERSONA RIPETUTA NELLA VOCE",IF(INDEX(Voci!$F$6:$F$24,MATCH(A34,Voci!$A$6:$A$24,0))&lt;&gt;"Interna","VOCE NON INTERNA",IF(OR(AND(C34="RUP",B34&lt;&gt;Procedura!$B$28),AND(C34="Responsabile fase",OR(Procedura!$B$29&lt;&gt;"Si",B34&lt;&gt;Procedura!$B$30)),AND(OR(OR(AND(Procedura!$B$10="Lavori",AC34=10),AND(Procedura!$B$10&lt;&gt;"Lavori",AC34=2)),IF(Procedura!$B$10="Lavori",OR(AC34=3,AC34=13),AC34=5)),NOT(OR(C34="RUP",AND(OR(AND(Procedura!$B$10="Lavori",AC34=10),AND(Procedura!$B$10&lt;&gt;"Lavori",AC34=2)),C34="Responsabile fase",Procedura!$B$29="Si")))),AND(IF(Procedura!$B$10="Lavori",OR(AC34=4,AC34=11,AC34=14),OR(AC34=3,AC34=6)),NOT(OR(C34="Supporto",C34="Altro",C34="Responsabile fase")))),"RUOLO NON COERENTE",IF(AND(IF(Procedura!$B$10="Lavori",OR(AC34=4,AC34=11,AC34=14),OR(AC34=3,AC34=6)),B34=Procedura!$B$28),"RUP E COLLABORAZIONE INCOMPATIBILI",IF(AND(AG34&gt;0,AG34&lt;&gt;AF34),"PESI MANUALI SOLO SU ALCUNE RIGHE",IF(AND(J34&gt;0,NOT(AND(Procedura!$B$10="Lavori",OR(AC34=5,AC34=6)))),"RITARDO PROGETTAZIONE NON PERTINENTE",IF(AND(M34&gt;0,M34&lt;5%),"CARENZE INFERIORI AL 5%",IF(AND(OR(J34&gt;0,K34&gt;0,L34&gt;0,M34&gt;0,I34="Si"),N34=""),"MOTIVARE ESCLUSIONE O RIDUZIONE",IF(AND(G34&gt;0,H34="Da verificare"),"ATTESTAZIONE DA ACQUISIRE",IF(AND(G34&gt;0,H34="Si",N34=""),"INDICARE ATTI ATTIVITA","COERENTE"))))))))))))))</f>
        <v/>
      </c>
      <c r="AA34" s="2" t="str">
        <f t="shared" si="9"/>
        <v/>
      </c>
      <c r="AB34" s="2" t="str">
        <f>IF(A34="","",INDEX(Voci!$C$6:$C$24,MATCH(A34,Voci!$A$6:$A$24,0)))</f>
        <v/>
      </c>
      <c r="AC34" s="2">
        <f>IF(A34="",0,INDEX(Voci!$B$6:$B$24,MATCH(A34,Voci!$A$6:$A$24,0)))</f>
        <v>0</v>
      </c>
      <c r="AD34" s="2">
        <f t="shared" si="10"/>
        <v>0</v>
      </c>
      <c r="AE34" s="2">
        <f t="shared" si="11"/>
        <v>0</v>
      </c>
      <c r="AF34" s="2">
        <f t="shared" si="12"/>
        <v>0</v>
      </c>
      <c r="AG34" s="2">
        <f t="shared" si="13"/>
        <v>0</v>
      </c>
      <c r="AH34">
        <f t="shared" si="14"/>
        <v>0</v>
      </c>
    </row>
    <row r="35" spans="1:34" ht="24" customHeight="1">
      <c r="A35" s="5"/>
      <c r="B35" s="5"/>
      <c r="C35" s="5"/>
      <c r="D35" s="8"/>
      <c r="E35" s="10">
        <f>IF(OR(A35="",B35=""),0,IF(ISNUMBER(D35),D35,IF(OR(AND(Procedura!$B$10="Lavori",AC35=10),AND(Procedura!$B$10&lt;&gt;"Lavori",AC35=2)),IF(Procedura!$B$29="Si",IF(C35="RUP",IF(Procedura!$B$10="Lavori",20%,IF(Voci!$M$7&gt;0,(Voci!$J$7*(1-Procedura!$B$39)+(Voci!$J$7*Procedura!$B$39-Voci!$L$7)*20%)/Voci!$M$7,0)),IF(C35="Responsabile fase",IF(Procedura!$B$10="Lavori",80%,IF(Voci!$M$7&gt;0,(Voci!$J$7*Procedura!$B$39-Voci!$L$7)*80%/Voci!$M$7,0)),0)),IF(C35="RUP",1,0)),IF(IF(Procedura!$B$10="Lavori",OR(AC35=3,AC35=13),AC35=5),IF(C35="RUP",1,0),IF(IF(Procedura!$B$10="Lavori",OR(AC35=4,AC35=11,AC35=14),OR(AC35=3,AC35=6)),IF(AND(AD35&gt;0,AE35&gt;0),IF(OR(C35="Supporto",C35="Responsabile fase"),60%/AD35,IF(C35="Altro",40%/AE35,0)),IF(AF35&gt;0,1/AF35,0)),IF(AF35&gt;0,1/AF35,0))))))</f>
        <v>0</v>
      </c>
      <c r="F35" s="11">
        <f>IF(A35="",0,INDEX(Voci!$M$6:$M$24,MATCH(A35,Voci!$A$6:$A$24,0))*E35)</f>
        <v>0</v>
      </c>
      <c r="G35" s="11">
        <f>IF(A35="",0,INDEX(Voci!$O$6:$O$24,MATCH(A35,Voci!$A$6:$A$24,0))*E35)</f>
        <v>0</v>
      </c>
      <c r="H35" s="5" t="s">
        <v>60</v>
      </c>
      <c r="I35" s="5" t="s">
        <v>67</v>
      </c>
      <c r="J35" s="8">
        <v>0</v>
      </c>
      <c r="K35" s="8">
        <v>0</v>
      </c>
      <c r="L35" s="8">
        <v>0</v>
      </c>
      <c r="M35" s="8">
        <v>0</v>
      </c>
      <c r="N35" s="5"/>
      <c r="O35" s="10">
        <f t="shared" si="0"/>
        <v>0</v>
      </c>
      <c r="P35" s="10">
        <f t="shared" si="1"/>
        <v>0</v>
      </c>
      <c r="Q35" s="10">
        <f t="shared" si="2"/>
        <v>0</v>
      </c>
      <c r="R35" s="10">
        <f t="shared" si="3"/>
        <v>0</v>
      </c>
      <c r="S35" s="11">
        <f t="shared" si="4"/>
        <v>0</v>
      </c>
      <c r="T35" s="11">
        <f t="shared" si="5"/>
        <v>0</v>
      </c>
      <c r="U35" s="11">
        <f t="shared" si="6"/>
        <v>0</v>
      </c>
      <c r="V35" s="10">
        <f>IF(B35="",0,INDEX(Personale!$F$6:$F$25,MATCH(B35,Personale!$A$6:$A$25,0)))</f>
        <v>0</v>
      </c>
      <c r="W35" s="11">
        <f t="shared" si="7"/>
        <v>0</v>
      </c>
      <c r="X35" s="11">
        <f t="shared" si="8"/>
        <v>0</v>
      </c>
      <c r="Y35" s="11">
        <f>IF(B35="",0,W35*INDEX(Personale!$G$6:$G$25,MATCH(B35,Personale!$A$6:$A$25,0)))</f>
        <v>0</v>
      </c>
      <c r="Z35" s="2" t="str">
        <f>IF(AND(A35&lt;&gt;"",Procedura!$B$10&lt;&gt;"Lavori",AC35=7,B35=Procedura!$B$28),"DEC DEVE ESSERE DIVERSO DAL RUP",IF(AND(ISNUMBER(D35),OR(OR(AND(Procedura!$B$10="Lavori",AC35=10),AND(Procedura!$B$10&lt;&gt;"Lavori",AC35=2)),IF(Procedura!$B$10="Lavori",OR(AC35=3,AC35=13),AC35=5)),ABS(E35-IF(IF(Procedura!$B$10="Lavori",OR(AC35=3,AC35=13),AC35=5),1,IF(Procedura!$B$29="No",1,IF(C35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FISSO",IF(AND(A35="",B35=""),"",IF(OR(A35="",B35="",C35=""),"COMPLETARE VOCE PERSONA RUOLO",IF(COUNTIFS($AA$6:$AA$105,AA35)&gt;1,"PERSONA RIPETUTA NELLA VOCE",IF(INDEX(Voci!$F$6:$F$24,MATCH(A35,Voci!$A$6:$A$24,0))&lt;&gt;"Interna","VOCE NON INTERNA",IF(OR(AND(C35="RUP",B35&lt;&gt;Procedura!$B$28),AND(C35="Responsabile fase",OR(Procedura!$B$29&lt;&gt;"Si",B35&lt;&gt;Procedura!$B$30)),AND(OR(OR(AND(Procedura!$B$10="Lavori",AC35=10),AND(Procedura!$B$10&lt;&gt;"Lavori",AC35=2)),IF(Procedura!$B$10="Lavori",OR(AC35=3,AC35=13),AC35=5)),NOT(OR(C35="RUP",AND(OR(AND(Procedura!$B$10="Lavori",AC35=10),AND(Procedura!$B$10&lt;&gt;"Lavori",AC35=2)),C35="Responsabile fase",Procedura!$B$29="Si")))),AND(IF(Procedura!$B$10="Lavori",OR(AC35=4,AC35=11,AC35=14),OR(AC35=3,AC35=6)),NOT(OR(C35="Supporto",C35="Altro",C35="Responsabile fase")))),"RUOLO NON COERENTE",IF(AND(IF(Procedura!$B$10="Lavori",OR(AC35=4,AC35=11,AC35=14),OR(AC35=3,AC35=6)),B35=Procedura!$B$28),"RUP E COLLABORAZIONE INCOMPATIBILI",IF(AND(AG35&gt;0,AG35&lt;&gt;AF35),"PESI MANUALI SOLO SU ALCUNE RIGHE",IF(AND(J35&gt;0,NOT(AND(Procedura!$B$10="Lavori",OR(AC35=5,AC35=6)))),"RITARDO PROGETTAZIONE NON PERTINENTE",IF(AND(M35&gt;0,M35&lt;5%),"CARENZE INFERIORI AL 5%",IF(AND(OR(J35&gt;0,K35&gt;0,L35&gt;0,M35&gt;0,I35="Si"),N35=""),"MOTIVARE ESCLUSIONE O RIDUZIONE",IF(AND(G35&gt;0,H35="Da verificare"),"ATTESTAZIONE DA ACQUISIRE",IF(AND(G35&gt;0,H35="Si",N35=""),"INDICARE ATTI ATTIVITA","COERENTE"))))))))))))))</f>
        <v/>
      </c>
      <c r="AA35" s="2" t="str">
        <f t="shared" si="9"/>
        <v/>
      </c>
      <c r="AB35" s="2" t="str">
        <f>IF(A35="","",INDEX(Voci!$C$6:$C$24,MATCH(A35,Voci!$A$6:$A$24,0)))</f>
        <v/>
      </c>
      <c r="AC35" s="2">
        <f>IF(A35="",0,INDEX(Voci!$B$6:$B$24,MATCH(A35,Voci!$A$6:$A$24,0)))</f>
        <v>0</v>
      </c>
      <c r="AD35" s="2">
        <f t="shared" si="10"/>
        <v>0</v>
      </c>
      <c r="AE35" s="2">
        <f t="shared" si="11"/>
        <v>0</v>
      </c>
      <c r="AF35" s="2">
        <f t="shared" si="12"/>
        <v>0</v>
      </c>
      <c r="AG35" s="2">
        <f t="shared" si="13"/>
        <v>0</v>
      </c>
      <c r="AH35">
        <f t="shared" si="14"/>
        <v>0</v>
      </c>
    </row>
    <row r="36" spans="1:34" ht="24" customHeight="1">
      <c r="A36" s="5"/>
      <c r="B36" s="5"/>
      <c r="C36" s="5"/>
      <c r="D36" s="8"/>
      <c r="E36" s="10">
        <f>IF(OR(A36="",B36=""),0,IF(ISNUMBER(D36),D36,IF(OR(AND(Procedura!$B$10="Lavori",AC36=10),AND(Procedura!$B$10&lt;&gt;"Lavori",AC36=2)),IF(Procedura!$B$29="Si",IF(C36="RUP",IF(Procedura!$B$10="Lavori",20%,IF(Voci!$M$7&gt;0,(Voci!$J$7*(1-Procedura!$B$39)+(Voci!$J$7*Procedura!$B$39-Voci!$L$7)*20%)/Voci!$M$7,0)),IF(C36="Responsabile fase",IF(Procedura!$B$10="Lavori",80%,IF(Voci!$M$7&gt;0,(Voci!$J$7*Procedura!$B$39-Voci!$L$7)*80%/Voci!$M$7,0)),0)),IF(C36="RUP",1,0)),IF(IF(Procedura!$B$10="Lavori",OR(AC36=3,AC36=13),AC36=5),IF(C36="RUP",1,0),IF(IF(Procedura!$B$10="Lavori",OR(AC36=4,AC36=11,AC36=14),OR(AC36=3,AC36=6)),IF(AND(AD36&gt;0,AE36&gt;0),IF(OR(C36="Supporto",C36="Responsabile fase"),60%/AD36,IF(C36="Altro",40%/AE36,0)),IF(AF36&gt;0,1/AF36,0)),IF(AF36&gt;0,1/AF36,0))))))</f>
        <v>0</v>
      </c>
      <c r="F36" s="11">
        <f>IF(A36="",0,INDEX(Voci!$M$6:$M$24,MATCH(A36,Voci!$A$6:$A$24,0))*E36)</f>
        <v>0</v>
      </c>
      <c r="G36" s="11">
        <f>IF(A36="",0,INDEX(Voci!$O$6:$O$24,MATCH(A36,Voci!$A$6:$A$24,0))*E36)</f>
        <v>0</v>
      </c>
      <c r="H36" s="5" t="s">
        <v>60</v>
      </c>
      <c r="I36" s="5" t="s">
        <v>67</v>
      </c>
      <c r="J36" s="8">
        <v>0</v>
      </c>
      <c r="K36" s="8">
        <v>0</v>
      </c>
      <c r="L36" s="8">
        <v>0</v>
      </c>
      <c r="M36" s="8">
        <v>0</v>
      </c>
      <c r="N36" s="5"/>
      <c r="O36" s="10">
        <f t="shared" si="0"/>
        <v>0</v>
      </c>
      <c r="P36" s="10">
        <f t="shared" si="1"/>
        <v>0</v>
      </c>
      <c r="Q36" s="10">
        <f t="shared" si="2"/>
        <v>0</v>
      </c>
      <c r="R36" s="10">
        <f t="shared" si="3"/>
        <v>0</v>
      </c>
      <c r="S36" s="11">
        <f t="shared" si="4"/>
        <v>0</v>
      </c>
      <c r="T36" s="11">
        <f t="shared" si="5"/>
        <v>0</v>
      </c>
      <c r="U36" s="11">
        <f t="shared" si="6"/>
        <v>0</v>
      </c>
      <c r="V36" s="10">
        <f>IF(B36="",0,INDEX(Personale!$F$6:$F$25,MATCH(B36,Personale!$A$6:$A$25,0)))</f>
        <v>0</v>
      </c>
      <c r="W36" s="11">
        <f t="shared" si="7"/>
        <v>0</v>
      </c>
      <c r="X36" s="11">
        <f t="shared" si="8"/>
        <v>0</v>
      </c>
      <c r="Y36" s="11">
        <f>IF(B36="",0,W36*INDEX(Personale!$G$6:$G$25,MATCH(B36,Personale!$A$6:$A$25,0)))</f>
        <v>0</v>
      </c>
      <c r="Z36" s="2" t="str">
        <f>IF(AND(A36&lt;&gt;"",Procedura!$B$10&lt;&gt;"Lavori",AC36=7,B36=Procedura!$B$28),"DEC DEVE ESSERE DIVERSO DAL RUP",IF(AND(ISNUMBER(D36),OR(OR(AND(Procedura!$B$10="Lavori",AC36=10),AND(Procedura!$B$10&lt;&gt;"Lavori",AC36=2)),IF(Procedura!$B$10="Lavori",OR(AC36=3,AC36=13),AC36=5)),ABS(E36-IF(IF(Procedura!$B$10="Lavori",OR(AC36=3,AC36=13),AC36=5),1,IF(Procedura!$B$29="No",1,IF(C36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FISSO",IF(AND(A36="",B36=""),"",IF(OR(A36="",B36="",C36=""),"COMPLETARE VOCE PERSONA RUOLO",IF(COUNTIFS($AA$6:$AA$105,AA36)&gt;1,"PERSONA RIPETUTA NELLA VOCE",IF(INDEX(Voci!$F$6:$F$24,MATCH(A36,Voci!$A$6:$A$24,0))&lt;&gt;"Interna","VOCE NON INTERNA",IF(OR(AND(C36="RUP",B36&lt;&gt;Procedura!$B$28),AND(C36="Responsabile fase",OR(Procedura!$B$29&lt;&gt;"Si",B36&lt;&gt;Procedura!$B$30)),AND(OR(OR(AND(Procedura!$B$10="Lavori",AC36=10),AND(Procedura!$B$10&lt;&gt;"Lavori",AC36=2)),IF(Procedura!$B$10="Lavori",OR(AC36=3,AC36=13),AC36=5)),NOT(OR(C36="RUP",AND(OR(AND(Procedura!$B$10="Lavori",AC36=10),AND(Procedura!$B$10&lt;&gt;"Lavori",AC36=2)),C36="Responsabile fase",Procedura!$B$29="Si")))),AND(IF(Procedura!$B$10="Lavori",OR(AC36=4,AC36=11,AC36=14),OR(AC36=3,AC36=6)),NOT(OR(C36="Supporto",C36="Altro",C36="Responsabile fase")))),"RUOLO NON COERENTE",IF(AND(IF(Procedura!$B$10="Lavori",OR(AC36=4,AC36=11,AC36=14),OR(AC36=3,AC36=6)),B36=Procedura!$B$28),"RUP E COLLABORAZIONE INCOMPATIBILI",IF(AND(AG36&gt;0,AG36&lt;&gt;AF36),"PESI MANUALI SOLO SU ALCUNE RIGHE",IF(AND(J36&gt;0,NOT(AND(Procedura!$B$10="Lavori",OR(AC36=5,AC36=6)))),"RITARDO PROGETTAZIONE NON PERTINENTE",IF(AND(M36&gt;0,M36&lt;5%),"CARENZE INFERIORI AL 5%",IF(AND(OR(J36&gt;0,K36&gt;0,L36&gt;0,M36&gt;0,I36="Si"),N36=""),"MOTIVARE ESCLUSIONE O RIDUZIONE",IF(AND(G36&gt;0,H36="Da verificare"),"ATTESTAZIONE DA ACQUISIRE",IF(AND(G36&gt;0,H36="Si",N36=""),"INDICARE ATTI ATTIVITA","COERENTE"))))))))))))))</f>
        <v/>
      </c>
      <c r="AA36" s="2" t="str">
        <f t="shared" si="9"/>
        <v/>
      </c>
      <c r="AB36" s="2" t="str">
        <f>IF(A36="","",INDEX(Voci!$C$6:$C$24,MATCH(A36,Voci!$A$6:$A$24,0)))</f>
        <v/>
      </c>
      <c r="AC36" s="2">
        <f>IF(A36="",0,INDEX(Voci!$B$6:$B$24,MATCH(A36,Voci!$A$6:$A$24,0)))</f>
        <v>0</v>
      </c>
      <c r="AD36" s="2">
        <f t="shared" si="10"/>
        <v>0</v>
      </c>
      <c r="AE36" s="2">
        <f t="shared" si="11"/>
        <v>0</v>
      </c>
      <c r="AF36" s="2">
        <f t="shared" si="12"/>
        <v>0</v>
      </c>
      <c r="AG36" s="2">
        <f t="shared" si="13"/>
        <v>0</v>
      </c>
      <c r="AH36">
        <f t="shared" si="14"/>
        <v>0</v>
      </c>
    </row>
    <row r="37" spans="1:34" ht="24" customHeight="1">
      <c r="A37" s="5"/>
      <c r="B37" s="5"/>
      <c r="C37" s="5"/>
      <c r="D37" s="8"/>
      <c r="E37" s="10">
        <f>IF(OR(A37="",B37=""),0,IF(ISNUMBER(D37),D37,IF(OR(AND(Procedura!$B$10="Lavori",AC37=10),AND(Procedura!$B$10&lt;&gt;"Lavori",AC37=2)),IF(Procedura!$B$29="Si",IF(C37="RUP",IF(Procedura!$B$10="Lavori",20%,IF(Voci!$M$7&gt;0,(Voci!$J$7*(1-Procedura!$B$39)+(Voci!$J$7*Procedura!$B$39-Voci!$L$7)*20%)/Voci!$M$7,0)),IF(C37="Responsabile fase",IF(Procedura!$B$10="Lavori",80%,IF(Voci!$M$7&gt;0,(Voci!$J$7*Procedura!$B$39-Voci!$L$7)*80%/Voci!$M$7,0)),0)),IF(C37="RUP",1,0)),IF(IF(Procedura!$B$10="Lavori",OR(AC37=3,AC37=13),AC37=5),IF(C37="RUP",1,0),IF(IF(Procedura!$B$10="Lavori",OR(AC37=4,AC37=11,AC37=14),OR(AC37=3,AC37=6)),IF(AND(AD37&gt;0,AE37&gt;0),IF(OR(C37="Supporto",C37="Responsabile fase"),60%/AD37,IF(C37="Altro",40%/AE37,0)),IF(AF37&gt;0,1/AF37,0)),IF(AF37&gt;0,1/AF37,0))))))</f>
        <v>0</v>
      </c>
      <c r="F37" s="11">
        <f>IF(A37="",0,INDEX(Voci!$M$6:$M$24,MATCH(A37,Voci!$A$6:$A$24,0))*E37)</f>
        <v>0</v>
      </c>
      <c r="G37" s="11">
        <f>IF(A37="",0,INDEX(Voci!$O$6:$O$24,MATCH(A37,Voci!$A$6:$A$24,0))*E37)</f>
        <v>0</v>
      </c>
      <c r="H37" s="5" t="s">
        <v>60</v>
      </c>
      <c r="I37" s="5" t="s">
        <v>67</v>
      </c>
      <c r="J37" s="8">
        <v>0</v>
      </c>
      <c r="K37" s="8">
        <v>0</v>
      </c>
      <c r="L37" s="8">
        <v>0</v>
      </c>
      <c r="M37" s="8">
        <v>0</v>
      </c>
      <c r="N37" s="5"/>
      <c r="O37" s="10">
        <f t="shared" si="0"/>
        <v>0</v>
      </c>
      <c r="P37" s="10">
        <f t="shared" si="1"/>
        <v>0</v>
      </c>
      <c r="Q37" s="10">
        <f t="shared" si="2"/>
        <v>0</v>
      </c>
      <c r="R37" s="10">
        <f t="shared" si="3"/>
        <v>0</v>
      </c>
      <c r="S37" s="11">
        <f t="shared" si="4"/>
        <v>0</v>
      </c>
      <c r="T37" s="11">
        <f t="shared" si="5"/>
        <v>0</v>
      </c>
      <c r="U37" s="11">
        <f t="shared" si="6"/>
        <v>0</v>
      </c>
      <c r="V37" s="10">
        <f>IF(B37="",0,INDEX(Personale!$F$6:$F$25,MATCH(B37,Personale!$A$6:$A$25,0)))</f>
        <v>0</v>
      </c>
      <c r="W37" s="11">
        <f t="shared" si="7"/>
        <v>0</v>
      </c>
      <c r="X37" s="11">
        <f t="shared" si="8"/>
        <v>0</v>
      </c>
      <c r="Y37" s="11">
        <f>IF(B37="",0,W37*INDEX(Personale!$G$6:$G$25,MATCH(B37,Personale!$A$6:$A$25,0)))</f>
        <v>0</v>
      </c>
      <c r="Z37" s="2" t="str">
        <f>IF(AND(A37&lt;&gt;"",Procedura!$B$10&lt;&gt;"Lavori",AC37=7,B37=Procedura!$B$28),"DEC DEVE ESSERE DIVERSO DAL RUP",IF(AND(ISNUMBER(D37),OR(OR(AND(Procedura!$B$10="Lavori",AC37=10),AND(Procedura!$B$10&lt;&gt;"Lavori",AC37=2)),IF(Procedura!$B$10="Lavori",OR(AC37=3,AC37=13),AC37=5)),ABS(E37-IF(IF(Procedura!$B$10="Lavori",OR(AC37=3,AC37=13),AC37=5),1,IF(Procedura!$B$29="No",1,IF(C37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FISSO",IF(AND(A37="",B37=""),"",IF(OR(A37="",B37="",C37=""),"COMPLETARE VOCE PERSONA RUOLO",IF(COUNTIFS($AA$6:$AA$105,AA37)&gt;1,"PERSONA RIPETUTA NELLA VOCE",IF(INDEX(Voci!$F$6:$F$24,MATCH(A37,Voci!$A$6:$A$24,0))&lt;&gt;"Interna","VOCE NON INTERNA",IF(OR(AND(C37="RUP",B37&lt;&gt;Procedura!$B$28),AND(C37="Responsabile fase",OR(Procedura!$B$29&lt;&gt;"Si",B37&lt;&gt;Procedura!$B$30)),AND(OR(OR(AND(Procedura!$B$10="Lavori",AC37=10),AND(Procedura!$B$10&lt;&gt;"Lavori",AC37=2)),IF(Procedura!$B$10="Lavori",OR(AC37=3,AC37=13),AC37=5)),NOT(OR(C37="RUP",AND(OR(AND(Procedura!$B$10="Lavori",AC37=10),AND(Procedura!$B$10&lt;&gt;"Lavori",AC37=2)),C37="Responsabile fase",Procedura!$B$29="Si")))),AND(IF(Procedura!$B$10="Lavori",OR(AC37=4,AC37=11,AC37=14),OR(AC37=3,AC37=6)),NOT(OR(C37="Supporto",C37="Altro",C37="Responsabile fase")))),"RUOLO NON COERENTE",IF(AND(IF(Procedura!$B$10="Lavori",OR(AC37=4,AC37=11,AC37=14),OR(AC37=3,AC37=6)),B37=Procedura!$B$28),"RUP E COLLABORAZIONE INCOMPATIBILI",IF(AND(AG37&gt;0,AG37&lt;&gt;AF37),"PESI MANUALI SOLO SU ALCUNE RIGHE",IF(AND(J37&gt;0,NOT(AND(Procedura!$B$10="Lavori",OR(AC37=5,AC37=6)))),"RITARDO PROGETTAZIONE NON PERTINENTE",IF(AND(M37&gt;0,M37&lt;5%),"CARENZE INFERIORI AL 5%",IF(AND(OR(J37&gt;0,K37&gt;0,L37&gt;0,M37&gt;0,I37="Si"),N37=""),"MOTIVARE ESCLUSIONE O RIDUZIONE",IF(AND(G37&gt;0,H37="Da verificare"),"ATTESTAZIONE DA ACQUISIRE",IF(AND(G37&gt;0,H37="Si",N37=""),"INDICARE ATTI ATTIVITA","COERENTE"))))))))))))))</f>
        <v/>
      </c>
      <c r="AA37" s="2" t="str">
        <f t="shared" si="9"/>
        <v/>
      </c>
      <c r="AB37" s="2" t="str">
        <f>IF(A37="","",INDEX(Voci!$C$6:$C$24,MATCH(A37,Voci!$A$6:$A$24,0)))</f>
        <v/>
      </c>
      <c r="AC37" s="2">
        <f>IF(A37="",0,INDEX(Voci!$B$6:$B$24,MATCH(A37,Voci!$A$6:$A$24,0)))</f>
        <v>0</v>
      </c>
      <c r="AD37" s="2">
        <f t="shared" si="10"/>
        <v>0</v>
      </c>
      <c r="AE37" s="2">
        <f t="shared" si="11"/>
        <v>0</v>
      </c>
      <c r="AF37" s="2">
        <f t="shared" si="12"/>
        <v>0</v>
      </c>
      <c r="AG37" s="2">
        <f t="shared" si="13"/>
        <v>0</v>
      </c>
      <c r="AH37">
        <f t="shared" si="14"/>
        <v>0</v>
      </c>
    </row>
    <row r="38" spans="1:34" ht="24" customHeight="1">
      <c r="A38" s="5"/>
      <c r="B38" s="5"/>
      <c r="C38" s="5"/>
      <c r="D38" s="8"/>
      <c r="E38" s="10">
        <f>IF(OR(A38="",B38=""),0,IF(ISNUMBER(D38),D38,IF(OR(AND(Procedura!$B$10="Lavori",AC38=10),AND(Procedura!$B$10&lt;&gt;"Lavori",AC38=2)),IF(Procedura!$B$29="Si",IF(C38="RUP",IF(Procedura!$B$10="Lavori",20%,IF(Voci!$M$7&gt;0,(Voci!$J$7*(1-Procedura!$B$39)+(Voci!$J$7*Procedura!$B$39-Voci!$L$7)*20%)/Voci!$M$7,0)),IF(C38="Responsabile fase",IF(Procedura!$B$10="Lavori",80%,IF(Voci!$M$7&gt;0,(Voci!$J$7*Procedura!$B$39-Voci!$L$7)*80%/Voci!$M$7,0)),0)),IF(C38="RUP",1,0)),IF(IF(Procedura!$B$10="Lavori",OR(AC38=3,AC38=13),AC38=5),IF(C38="RUP",1,0),IF(IF(Procedura!$B$10="Lavori",OR(AC38=4,AC38=11,AC38=14),OR(AC38=3,AC38=6)),IF(AND(AD38&gt;0,AE38&gt;0),IF(OR(C38="Supporto",C38="Responsabile fase"),60%/AD38,IF(C38="Altro",40%/AE38,0)),IF(AF38&gt;0,1/AF38,0)),IF(AF38&gt;0,1/AF38,0))))))</f>
        <v>0</v>
      </c>
      <c r="F38" s="11">
        <f>IF(A38="",0,INDEX(Voci!$M$6:$M$24,MATCH(A38,Voci!$A$6:$A$24,0))*E38)</f>
        <v>0</v>
      </c>
      <c r="G38" s="11">
        <f>IF(A38="",0,INDEX(Voci!$O$6:$O$24,MATCH(A38,Voci!$A$6:$A$24,0))*E38)</f>
        <v>0</v>
      </c>
      <c r="H38" s="5" t="s">
        <v>60</v>
      </c>
      <c r="I38" s="5" t="s">
        <v>67</v>
      </c>
      <c r="J38" s="8">
        <v>0</v>
      </c>
      <c r="K38" s="8">
        <v>0</v>
      </c>
      <c r="L38" s="8">
        <v>0</v>
      </c>
      <c r="M38" s="8">
        <v>0</v>
      </c>
      <c r="N38" s="5"/>
      <c r="O38" s="10">
        <f t="shared" ref="O38:O69" si="15">IF(J38&lt;=0,0,IF(J38&lt;=1/3,20%,IF(J38&lt;=1/2,40%,IF(J38&lt;=2/3,60%,100%))))</f>
        <v>0</v>
      </c>
      <c r="P38" s="10">
        <f t="shared" ref="P38:P69" si="16">IF(K38&lt;=0,0,IF(K38&lt;=30%,20%,IF(K38&lt;=40%,40%,60%)))</f>
        <v>0</v>
      </c>
      <c r="Q38" s="10">
        <f t="shared" ref="Q38:Q69" si="17">IF(L38&lt;=0,0,IF(L38&lt;=25%,30%,IF(L38&lt;=40%,50%,60%)))</f>
        <v>0</v>
      </c>
      <c r="R38" s="10">
        <f t="shared" ref="R38:R69" si="18">MIN(100%,SUM(M38,O38:Q38))</f>
        <v>0</v>
      </c>
      <c r="S38" s="11">
        <f t="shared" ref="S38:S69" si="19">IF(I38="Si",G38,IF(H38="Si",G38*R38,0))</f>
        <v>0</v>
      </c>
      <c r="T38" s="11">
        <f t="shared" ref="T38:T69" si="20">IF(AND(H38="No",I38&lt;&gt;"Si"),G38,0)</f>
        <v>0</v>
      </c>
      <c r="U38" s="11">
        <f t="shared" ref="U38:U69" si="21">IF(AND(H38="Si",I38&lt;&gt;"Si"),G38-S38,0)</f>
        <v>0</v>
      </c>
      <c r="V38" s="10">
        <f>IF(B38="",0,INDEX(Personale!$F$6:$F$25,MATCH(B38,Personale!$A$6:$A$25,0)))</f>
        <v>0</v>
      </c>
      <c r="W38" s="11">
        <f t="shared" ref="W38:W69" si="22">U38/(1+V38)</f>
        <v>0</v>
      </c>
      <c r="X38" s="11">
        <f t="shared" ref="X38:X69" si="23">U38-W38</f>
        <v>0</v>
      </c>
      <c r="Y38" s="11">
        <f>IF(B38="",0,W38*INDEX(Personale!$G$6:$G$25,MATCH(B38,Personale!$A$6:$A$25,0)))</f>
        <v>0</v>
      </c>
      <c r="Z38" s="2" t="str">
        <f>IF(AND(A38&lt;&gt;"",Procedura!$B$10&lt;&gt;"Lavori",AC38=7,B38=Procedura!$B$28),"DEC DEVE ESSERE DIVERSO DAL RUP",IF(AND(ISNUMBER(D38),OR(OR(AND(Procedura!$B$10="Lavori",AC38=10),AND(Procedura!$B$10&lt;&gt;"Lavori",AC38=2)),IF(Procedura!$B$10="Lavori",OR(AC38=3,AC38=13),AC38=5)),ABS(E38-IF(IF(Procedura!$B$10="Lavori",OR(AC38=3,AC38=13),AC38=5),1,IF(Procedura!$B$29="No",1,IF(C38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FISSO",IF(AND(A38="",B38=""),"",IF(OR(A38="",B38="",C38=""),"COMPLETARE VOCE PERSONA RUOLO",IF(COUNTIFS($AA$6:$AA$105,AA38)&gt;1,"PERSONA RIPETUTA NELLA VOCE",IF(INDEX(Voci!$F$6:$F$24,MATCH(A38,Voci!$A$6:$A$24,0))&lt;&gt;"Interna","VOCE NON INTERNA",IF(OR(AND(C38="RUP",B38&lt;&gt;Procedura!$B$28),AND(C38="Responsabile fase",OR(Procedura!$B$29&lt;&gt;"Si",B38&lt;&gt;Procedura!$B$30)),AND(OR(OR(AND(Procedura!$B$10="Lavori",AC38=10),AND(Procedura!$B$10&lt;&gt;"Lavori",AC38=2)),IF(Procedura!$B$10="Lavori",OR(AC38=3,AC38=13),AC38=5)),NOT(OR(C38="RUP",AND(OR(AND(Procedura!$B$10="Lavori",AC38=10),AND(Procedura!$B$10&lt;&gt;"Lavori",AC38=2)),C38="Responsabile fase",Procedura!$B$29="Si")))),AND(IF(Procedura!$B$10="Lavori",OR(AC38=4,AC38=11,AC38=14),OR(AC38=3,AC38=6)),NOT(OR(C38="Supporto",C38="Altro",C38="Responsabile fase")))),"RUOLO NON COERENTE",IF(AND(IF(Procedura!$B$10="Lavori",OR(AC38=4,AC38=11,AC38=14),OR(AC38=3,AC38=6)),B38=Procedura!$B$28),"RUP E COLLABORAZIONE INCOMPATIBILI",IF(AND(AG38&gt;0,AG38&lt;&gt;AF38),"PESI MANUALI SOLO SU ALCUNE RIGHE",IF(AND(J38&gt;0,NOT(AND(Procedura!$B$10="Lavori",OR(AC38=5,AC38=6)))),"RITARDO PROGETTAZIONE NON PERTINENTE",IF(AND(M38&gt;0,M38&lt;5%),"CARENZE INFERIORI AL 5%",IF(AND(OR(J38&gt;0,K38&gt;0,L38&gt;0,M38&gt;0,I38="Si"),N38=""),"MOTIVARE ESCLUSIONE O RIDUZIONE",IF(AND(G38&gt;0,H38="Da verificare"),"ATTESTAZIONE DA ACQUISIRE",IF(AND(G38&gt;0,H38="Si",N38=""),"INDICARE ATTI ATTIVITA","COERENTE"))))))))))))))</f>
        <v/>
      </c>
      <c r="AA38" s="2" t="str">
        <f t="shared" ref="AA38:AA69" si="24">IF(OR(A38="",B38=""),"",A38&amp;"/"&amp;B38)</f>
        <v/>
      </c>
      <c r="AB38" s="2" t="str">
        <f>IF(A38="","",INDEX(Voci!$C$6:$C$24,MATCH(A38,Voci!$A$6:$A$24,0)))</f>
        <v/>
      </c>
      <c r="AC38" s="2">
        <f>IF(A38="",0,INDEX(Voci!$B$6:$B$24,MATCH(A38,Voci!$A$6:$A$24,0)))</f>
        <v>0</v>
      </c>
      <c r="AD38" s="2">
        <f t="shared" ref="AD38:AD69" si="25">COUNTIFS($A$6:$A$105,A38,$C$6:$C$105,"Supporto")+COUNTIFS($A$6:$A$105,A38,$C$6:$C$105,"Responsabile fase")</f>
        <v>0</v>
      </c>
      <c r="AE38" s="2">
        <f t="shared" ref="AE38:AE69" si="26">COUNTIFS($A$6:$A$105,A38,$C$6:$C$105,"Altro")</f>
        <v>0</v>
      </c>
      <c r="AF38" s="2">
        <f t="shared" ref="AF38:AF69" si="27">COUNTIFS($A$6:$A$105,A38,$B$6:$B$105,"&lt;&gt;")</f>
        <v>0</v>
      </c>
      <c r="AG38" s="2">
        <f t="shared" ref="AG38:AG69" si="28">COUNTIFS($A$6:$A$105,A38,$D$6:$D$105,"&gt;=0",$D$6:$D$105,"&lt;&gt;")</f>
        <v>0</v>
      </c>
      <c r="AH38">
        <f t="shared" ref="AH38:AH69" si="29">IF(OR(Z38="",Z38="COERENTE"),0,1)</f>
        <v>0</v>
      </c>
    </row>
    <row r="39" spans="1:34" ht="24" customHeight="1">
      <c r="A39" s="5"/>
      <c r="B39" s="5"/>
      <c r="C39" s="5"/>
      <c r="D39" s="8"/>
      <c r="E39" s="10">
        <f>IF(OR(A39="",B39=""),0,IF(ISNUMBER(D39),D39,IF(OR(AND(Procedura!$B$10="Lavori",AC39=10),AND(Procedura!$B$10&lt;&gt;"Lavori",AC39=2)),IF(Procedura!$B$29="Si",IF(C39="RUP",IF(Procedura!$B$10="Lavori",20%,IF(Voci!$M$7&gt;0,(Voci!$J$7*(1-Procedura!$B$39)+(Voci!$J$7*Procedura!$B$39-Voci!$L$7)*20%)/Voci!$M$7,0)),IF(C39="Responsabile fase",IF(Procedura!$B$10="Lavori",80%,IF(Voci!$M$7&gt;0,(Voci!$J$7*Procedura!$B$39-Voci!$L$7)*80%/Voci!$M$7,0)),0)),IF(C39="RUP",1,0)),IF(IF(Procedura!$B$10="Lavori",OR(AC39=3,AC39=13),AC39=5),IF(C39="RUP",1,0),IF(IF(Procedura!$B$10="Lavori",OR(AC39=4,AC39=11,AC39=14),OR(AC39=3,AC39=6)),IF(AND(AD39&gt;0,AE39&gt;0),IF(OR(C39="Supporto",C39="Responsabile fase"),60%/AD39,IF(C39="Altro",40%/AE39,0)),IF(AF39&gt;0,1/AF39,0)),IF(AF39&gt;0,1/AF39,0))))))</f>
        <v>0</v>
      </c>
      <c r="F39" s="11">
        <f>IF(A39="",0,INDEX(Voci!$M$6:$M$24,MATCH(A39,Voci!$A$6:$A$24,0))*E39)</f>
        <v>0</v>
      </c>
      <c r="G39" s="11">
        <f>IF(A39="",0,INDEX(Voci!$O$6:$O$24,MATCH(A39,Voci!$A$6:$A$24,0))*E39)</f>
        <v>0</v>
      </c>
      <c r="H39" s="5" t="s">
        <v>60</v>
      </c>
      <c r="I39" s="5" t="s">
        <v>67</v>
      </c>
      <c r="J39" s="8">
        <v>0</v>
      </c>
      <c r="K39" s="8">
        <v>0</v>
      </c>
      <c r="L39" s="8">
        <v>0</v>
      </c>
      <c r="M39" s="8">
        <v>0</v>
      </c>
      <c r="N39" s="5"/>
      <c r="O39" s="10">
        <f t="shared" si="15"/>
        <v>0</v>
      </c>
      <c r="P39" s="10">
        <f t="shared" si="16"/>
        <v>0</v>
      </c>
      <c r="Q39" s="10">
        <f t="shared" si="17"/>
        <v>0</v>
      </c>
      <c r="R39" s="10">
        <f t="shared" si="18"/>
        <v>0</v>
      </c>
      <c r="S39" s="11">
        <f t="shared" si="19"/>
        <v>0</v>
      </c>
      <c r="T39" s="11">
        <f t="shared" si="20"/>
        <v>0</v>
      </c>
      <c r="U39" s="11">
        <f t="shared" si="21"/>
        <v>0</v>
      </c>
      <c r="V39" s="10">
        <f>IF(B39="",0,INDEX(Personale!$F$6:$F$25,MATCH(B39,Personale!$A$6:$A$25,0)))</f>
        <v>0</v>
      </c>
      <c r="W39" s="11">
        <f t="shared" si="22"/>
        <v>0</v>
      </c>
      <c r="X39" s="11">
        <f t="shared" si="23"/>
        <v>0</v>
      </c>
      <c r="Y39" s="11">
        <f>IF(B39="",0,W39*INDEX(Personale!$G$6:$G$25,MATCH(B39,Personale!$A$6:$A$25,0)))</f>
        <v>0</v>
      </c>
      <c r="Z39" s="2" t="str">
        <f>IF(AND(A39&lt;&gt;"",Procedura!$B$10&lt;&gt;"Lavori",AC39=7,B39=Procedura!$B$28),"DEC DEVE ESSERE DIVERSO DAL RUP",IF(AND(ISNUMBER(D39),OR(OR(AND(Procedura!$B$10="Lavori",AC39=10),AND(Procedura!$B$10&lt;&gt;"Lavori",AC39=2)),IF(Procedura!$B$10="Lavori",OR(AC39=3,AC39=13),AC39=5)),ABS(E39-IF(IF(Procedura!$B$10="Lavori",OR(AC39=3,AC39=13),AC39=5),1,IF(Procedura!$B$29="No",1,IF(C39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FISSO",IF(AND(A39="",B39=""),"",IF(OR(A39="",B39="",C39=""),"COMPLETARE VOCE PERSONA RUOLO",IF(COUNTIFS($AA$6:$AA$105,AA39)&gt;1,"PERSONA RIPETUTA NELLA VOCE",IF(INDEX(Voci!$F$6:$F$24,MATCH(A39,Voci!$A$6:$A$24,0))&lt;&gt;"Interna","VOCE NON INTERNA",IF(OR(AND(C39="RUP",B39&lt;&gt;Procedura!$B$28),AND(C39="Responsabile fase",OR(Procedura!$B$29&lt;&gt;"Si",B39&lt;&gt;Procedura!$B$30)),AND(OR(OR(AND(Procedura!$B$10="Lavori",AC39=10),AND(Procedura!$B$10&lt;&gt;"Lavori",AC39=2)),IF(Procedura!$B$10="Lavori",OR(AC39=3,AC39=13),AC39=5)),NOT(OR(C39="RUP",AND(OR(AND(Procedura!$B$10="Lavori",AC39=10),AND(Procedura!$B$10&lt;&gt;"Lavori",AC39=2)),C39="Responsabile fase",Procedura!$B$29="Si")))),AND(IF(Procedura!$B$10="Lavori",OR(AC39=4,AC39=11,AC39=14),OR(AC39=3,AC39=6)),NOT(OR(C39="Supporto",C39="Altro",C39="Responsabile fase")))),"RUOLO NON COERENTE",IF(AND(IF(Procedura!$B$10="Lavori",OR(AC39=4,AC39=11,AC39=14),OR(AC39=3,AC39=6)),B39=Procedura!$B$28),"RUP E COLLABORAZIONE INCOMPATIBILI",IF(AND(AG39&gt;0,AG39&lt;&gt;AF39),"PESI MANUALI SOLO SU ALCUNE RIGHE",IF(AND(J39&gt;0,NOT(AND(Procedura!$B$10="Lavori",OR(AC39=5,AC39=6)))),"RITARDO PROGETTAZIONE NON PERTINENTE",IF(AND(M39&gt;0,M39&lt;5%),"CARENZE INFERIORI AL 5%",IF(AND(OR(J39&gt;0,K39&gt;0,L39&gt;0,M39&gt;0,I39="Si"),N39=""),"MOTIVARE ESCLUSIONE O RIDUZIONE",IF(AND(G39&gt;0,H39="Da verificare"),"ATTESTAZIONE DA ACQUISIRE",IF(AND(G39&gt;0,H39="Si",N39=""),"INDICARE ATTI ATTIVITA","COERENTE"))))))))))))))</f>
        <v/>
      </c>
      <c r="AA39" s="2" t="str">
        <f t="shared" si="24"/>
        <v/>
      </c>
      <c r="AB39" s="2" t="str">
        <f>IF(A39="","",INDEX(Voci!$C$6:$C$24,MATCH(A39,Voci!$A$6:$A$24,0)))</f>
        <v/>
      </c>
      <c r="AC39" s="2">
        <f>IF(A39="",0,INDEX(Voci!$B$6:$B$24,MATCH(A39,Voci!$A$6:$A$24,0)))</f>
        <v>0</v>
      </c>
      <c r="AD39" s="2">
        <f t="shared" si="25"/>
        <v>0</v>
      </c>
      <c r="AE39" s="2">
        <f t="shared" si="26"/>
        <v>0</v>
      </c>
      <c r="AF39" s="2">
        <f t="shared" si="27"/>
        <v>0</v>
      </c>
      <c r="AG39" s="2">
        <f t="shared" si="28"/>
        <v>0</v>
      </c>
      <c r="AH39">
        <f t="shared" si="29"/>
        <v>0</v>
      </c>
    </row>
    <row r="40" spans="1:34" ht="24" customHeight="1">
      <c r="A40" s="5"/>
      <c r="B40" s="5"/>
      <c r="C40" s="5"/>
      <c r="D40" s="8"/>
      <c r="E40" s="10">
        <f>IF(OR(A40="",B40=""),0,IF(ISNUMBER(D40),D40,IF(OR(AND(Procedura!$B$10="Lavori",AC40=10),AND(Procedura!$B$10&lt;&gt;"Lavori",AC40=2)),IF(Procedura!$B$29="Si",IF(C40="RUP",IF(Procedura!$B$10="Lavori",20%,IF(Voci!$M$7&gt;0,(Voci!$J$7*(1-Procedura!$B$39)+(Voci!$J$7*Procedura!$B$39-Voci!$L$7)*20%)/Voci!$M$7,0)),IF(C40="Responsabile fase",IF(Procedura!$B$10="Lavori",80%,IF(Voci!$M$7&gt;0,(Voci!$J$7*Procedura!$B$39-Voci!$L$7)*80%/Voci!$M$7,0)),0)),IF(C40="RUP",1,0)),IF(IF(Procedura!$B$10="Lavori",OR(AC40=3,AC40=13),AC40=5),IF(C40="RUP",1,0),IF(IF(Procedura!$B$10="Lavori",OR(AC40=4,AC40=11,AC40=14),OR(AC40=3,AC40=6)),IF(AND(AD40&gt;0,AE40&gt;0),IF(OR(C40="Supporto",C40="Responsabile fase"),60%/AD40,IF(C40="Altro",40%/AE40,0)),IF(AF40&gt;0,1/AF40,0)),IF(AF40&gt;0,1/AF40,0))))))</f>
        <v>0</v>
      </c>
      <c r="F40" s="11">
        <f>IF(A40="",0,INDEX(Voci!$M$6:$M$24,MATCH(A40,Voci!$A$6:$A$24,0))*E40)</f>
        <v>0</v>
      </c>
      <c r="G40" s="11">
        <f>IF(A40="",0,INDEX(Voci!$O$6:$O$24,MATCH(A40,Voci!$A$6:$A$24,0))*E40)</f>
        <v>0</v>
      </c>
      <c r="H40" s="5" t="s">
        <v>60</v>
      </c>
      <c r="I40" s="5" t="s">
        <v>67</v>
      </c>
      <c r="J40" s="8">
        <v>0</v>
      </c>
      <c r="K40" s="8">
        <v>0</v>
      </c>
      <c r="L40" s="8">
        <v>0</v>
      </c>
      <c r="M40" s="8">
        <v>0</v>
      </c>
      <c r="N40" s="5"/>
      <c r="O40" s="10">
        <f t="shared" si="15"/>
        <v>0</v>
      </c>
      <c r="P40" s="10">
        <f t="shared" si="16"/>
        <v>0</v>
      </c>
      <c r="Q40" s="10">
        <f t="shared" si="17"/>
        <v>0</v>
      </c>
      <c r="R40" s="10">
        <f t="shared" si="18"/>
        <v>0</v>
      </c>
      <c r="S40" s="11">
        <f t="shared" si="19"/>
        <v>0</v>
      </c>
      <c r="T40" s="11">
        <f t="shared" si="20"/>
        <v>0</v>
      </c>
      <c r="U40" s="11">
        <f t="shared" si="21"/>
        <v>0</v>
      </c>
      <c r="V40" s="10">
        <f>IF(B40="",0,INDEX(Personale!$F$6:$F$25,MATCH(B40,Personale!$A$6:$A$25,0)))</f>
        <v>0</v>
      </c>
      <c r="W40" s="11">
        <f t="shared" si="22"/>
        <v>0</v>
      </c>
      <c r="X40" s="11">
        <f t="shared" si="23"/>
        <v>0</v>
      </c>
      <c r="Y40" s="11">
        <f>IF(B40="",0,W40*INDEX(Personale!$G$6:$G$25,MATCH(B40,Personale!$A$6:$A$25,0)))</f>
        <v>0</v>
      </c>
      <c r="Z40" s="2" t="str">
        <f>IF(AND(A40&lt;&gt;"",Procedura!$B$10&lt;&gt;"Lavori",AC40=7,B40=Procedura!$B$28),"DEC DEVE ESSERE DIVERSO DAL RUP",IF(AND(ISNUMBER(D40),OR(OR(AND(Procedura!$B$10="Lavori",AC40=10),AND(Procedura!$B$10&lt;&gt;"Lavori",AC40=2)),IF(Procedura!$B$10="Lavori",OR(AC40=3,AC40=13),AC40=5)),ABS(E40-IF(IF(Procedura!$B$10="Lavori",OR(AC40=3,AC40=13),AC40=5),1,IF(Procedura!$B$29="No",1,IF(C40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FISSO",IF(AND(A40="",B40=""),"",IF(OR(A40="",B40="",C40=""),"COMPLETARE VOCE PERSONA RUOLO",IF(COUNTIFS($AA$6:$AA$105,AA40)&gt;1,"PERSONA RIPETUTA NELLA VOCE",IF(INDEX(Voci!$F$6:$F$24,MATCH(A40,Voci!$A$6:$A$24,0))&lt;&gt;"Interna","VOCE NON INTERNA",IF(OR(AND(C40="RUP",B40&lt;&gt;Procedura!$B$28),AND(C40="Responsabile fase",OR(Procedura!$B$29&lt;&gt;"Si",B40&lt;&gt;Procedura!$B$30)),AND(OR(OR(AND(Procedura!$B$10="Lavori",AC40=10),AND(Procedura!$B$10&lt;&gt;"Lavori",AC40=2)),IF(Procedura!$B$10="Lavori",OR(AC40=3,AC40=13),AC40=5)),NOT(OR(C40="RUP",AND(OR(AND(Procedura!$B$10="Lavori",AC40=10),AND(Procedura!$B$10&lt;&gt;"Lavori",AC40=2)),C40="Responsabile fase",Procedura!$B$29="Si")))),AND(IF(Procedura!$B$10="Lavori",OR(AC40=4,AC40=11,AC40=14),OR(AC40=3,AC40=6)),NOT(OR(C40="Supporto",C40="Altro",C40="Responsabile fase")))),"RUOLO NON COERENTE",IF(AND(IF(Procedura!$B$10="Lavori",OR(AC40=4,AC40=11,AC40=14),OR(AC40=3,AC40=6)),B40=Procedura!$B$28),"RUP E COLLABORAZIONE INCOMPATIBILI",IF(AND(AG40&gt;0,AG40&lt;&gt;AF40),"PESI MANUALI SOLO SU ALCUNE RIGHE",IF(AND(J40&gt;0,NOT(AND(Procedura!$B$10="Lavori",OR(AC40=5,AC40=6)))),"RITARDO PROGETTAZIONE NON PERTINENTE",IF(AND(M40&gt;0,M40&lt;5%),"CARENZE INFERIORI AL 5%",IF(AND(OR(J40&gt;0,K40&gt;0,L40&gt;0,M40&gt;0,I40="Si"),N40=""),"MOTIVARE ESCLUSIONE O RIDUZIONE",IF(AND(G40&gt;0,H40="Da verificare"),"ATTESTAZIONE DA ACQUISIRE",IF(AND(G40&gt;0,H40="Si",N40=""),"INDICARE ATTI ATTIVITA","COERENTE"))))))))))))))</f>
        <v/>
      </c>
      <c r="AA40" s="2" t="str">
        <f t="shared" si="24"/>
        <v/>
      </c>
      <c r="AB40" s="2" t="str">
        <f>IF(A40="","",INDEX(Voci!$C$6:$C$24,MATCH(A40,Voci!$A$6:$A$24,0)))</f>
        <v/>
      </c>
      <c r="AC40" s="2">
        <f>IF(A40="",0,INDEX(Voci!$B$6:$B$24,MATCH(A40,Voci!$A$6:$A$24,0)))</f>
        <v>0</v>
      </c>
      <c r="AD40" s="2">
        <f t="shared" si="25"/>
        <v>0</v>
      </c>
      <c r="AE40" s="2">
        <f t="shared" si="26"/>
        <v>0</v>
      </c>
      <c r="AF40" s="2">
        <f t="shared" si="27"/>
        <v>0</v>
      </c>
      <c r="AG40" s="2">
        <f t="shared" si="28"/>
        <v>0</v>
      </c>
      <c r="AH40">
        <f t="shared" si="29"/>
        <v>0</v>
      </c>
    </row>
    <row r="41" spans="1:34" ht="24" customHeight="1">
      <c r="A41" s="5"/>
      <c r="B41" s="5"/>
      <c r="C41" s="5"/>
      <c r="D41" s="8"/>
      <c r="E41" s="10">
        <f>IF(OR(A41="",B41=""),0,IF(ISNUMBER(D41),D41,IF(OR(AND(Procedura!$B$10="Lavori",AC41=10),AND(Procedura!$B$10&lt;&gt;"Lavori",AC41=2)),IF(Procedura!$B$29="Si",IF(C41="RUP",IF(Procedura!$B$10="Lavori",20%,IF(Voci!$M$7&gt;0,(Voci!$J$7*(1-Procedura!$B$39)+(Voci!$J$7*Procedura!$B$39-Voci!$L$7)*20%)/Voci!$M$7,0)),IF(C41="Responsabile fase",IF(Procedura!$B$10="Lavori",80%,IF(Voci!$M$7&gt;0,(Voci!$J$7*Procedura!$B$39-Voci!$L$7)*80%/Voci!$M$7,0)),0)),IF(C41="RUP",1,0)),IF(IF(Procedura!$B$10="Lavori",OR(AC41=3,AC41=13),AC41=5),IF(C41="RUP",1,0),IF(IF(Procedura!$B$10="Lavori",OR(AC41=4,AC41=11,AC41=14),OR(AC41=3,AC41=6)),IF(AND(AD41&gt;0,AE41&gt;0),IF(OR(C41="Supporto",C41="Responsabile fase"),60%/AD41,IF(C41="Altro",40%/AE41,0)),IF(AF41&gt;0,1/AF41,0)),IF(AF41&gt;0,1/AF41,0))))))</f>
        <v>0</v>
      </c>
      <c r="F41" s="11">
        <f>IF(A41="",0,INDEX(Voci!$M$6:$M$24,MATCH(A41,Voci!$A$6:$A$24,0))*E41)</f>
        <v>0</v>
      </c>
      <c r="G41" s="11">
        <f>IF(A41="",0,INDEX(Voci!$O$6:$O$24,MATCH(A41,Voci!$A$6:$A$24,0))*E41)</f>
        <v>0</v>
      </c>
      <c r="H41" s="5" t="s">
        <v>60</v>
      </c>
      <c r="I41" s="5" t="s">
        <v>67</v>
      </c>
      <c r="J41" s="8">
        <v>0</v>
      </c>
      <c r="K41" s="8">
        <v>0</v>
      </c>
      <c r="L41" s="8">
        <v>0</v>
      </c>
      <c r="M41" s="8">
        <v>0</v>
      </c>
      <c r="N41" s="5"/>
      <c r="O41" s="10">
        <f t="shared" si="15"/>
        <v>0</v>
      </c>
      <c r="P41" s="10">
        <f t="shared" si="16"/>
        <v>0</v>
      </c>
      <c r="Q41" s="10">
        <f t="shared" si="17"/>
        <v>0</v>
      </c>
      <c r="R41" s="10">
        <f t="shared" si="18"/>
        <v>0</v>
      </c>
      <c r="S41" s="11">
        <f t="shared" si="19"/>
        <v>0</v>
      </c>
      <c r="T41" s="11">
        <f t="shared" si="20"/>
        <v>0</v>
      </c>
      <c r="U41" s="11">
        <f t="shared" si="21"/>
        <v>0</v>
      </c>
      <c r="V41" s="10">
        <f>IF(B41="",0,INDEX(Personale!$F$6:$F$25,MATCH(B41,Personale!$A$6:$A$25,0)))</f>
        <v>0</v>
      </c>
      <c r="W41" s="11">
        <f t="shared" si="22"/>
        <v>0</v>
      </c>
      <c r="X41" s="11">
        <f t="shared" si="23"/>
        <v>0</v>
      </c>
      <c r="Y41" s="11">
        <f>IF(B41="",0,W41*INDEX(Personale!$G$6:$G$25,MATCH(B41,Personale!$A$6:$A$25,0)))</f>
        <v>0</v>
      </c>
      <c r="Z41" s="2" t="str">
        <f>IF(AND(A41&lt;&gt;"",Procedura!$B$10&lt;&gt;"Lavori",AC41=7,B41=Procedura!$B$28),"DEC DEVE ESSERE DIVERSO DAL RUP",IF(AND(ISNUMBER(D41),OR(OR(AND(Procedura!$B$10="Lavori",AC41=10),AND(Procedura!$B$10&lt;&gt;"Lavori",AC41=2)),IF(Procedura!$B$10="Lavori",OR(AC41=3,AC41=13),AC41=5)),ABS(E41-IF(IF(Procedura!$B$10="Lavori",OR(AC41=3,AC41=13),AC41=5),1,IF(Procedura!$B$29="No",1,IF(C41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FISSO",IF(AND(A41="",B41=""),"",IF(OR(A41="",B41="",C41=""),"COMPLETARE VOCE PERSONA RUOLO",IF(COUNTIFS($AA$6:$AA$105,AA41)&gt;1,"PERSONA RIPETUTA NELLA VOCE",IF(INDEX(Voci!$F$6:$F$24,MATCH(A41,Voci!$A$6:$A$24,0))&lt;&gt;"Interna","VOCE NON INTERNA",IF(OR(AND(C41="RUP",B41&lt;&gt;Procedura!$B$28),AND(C41="Responsabile fase",OR(Procedura!$B$29&lt;&gt;"Si",B41&lt;&gt;Procedura!$B$30)),AND(OR(OR(AND(Procedura!$B$10="Lavori",AC41=10),AND(Procedura!$B$10&lt;&gt;"Lavori",AC41=2)),IF(Procedura!$B$10="Lavori",OR(AC41=3,AC41=13),AC41=5)),NOT(OR(C41="RUP",AND(OR(AND(Procedura!$B$10="Lavori",AC41=10),AND(Procedura!$B$10&lt;&gt;"Lavori",AC41=2)),C41="Responsabile fase",Procedura!$B$29="Si")))),AND(IF(Procedura!$B$10="Lavori",OR(AC41=4,AC41=11,AC41=14),OR(AC41=3,AC41=6)),NOT(OR(C41="Supporto",C41="Altro",C41="Responsabile fase")))),"RUOLO NON COERENTE",IF(AND(IF(Procedura!$B$10="Lavori",OR(AC41=4,AC41=11,AC41=14),OR(AC41=3,AC41=6)),B41=Procedura!$B$28),"RUP E COLLABORAZIONE INCOMPATIBILI",IF(AND(AG41&gt;0,AG41&lt;&gt;AF41),"PESI MANUALI SOLO SU ALCUNE RIGHE",IF(AND(J41&gt;0,NOT(AND(Procedura!$B$10="Lavori",OR(AC41=5,AC41=6)))),"RITARDO PROGETTAZIONE NON PERTINENTE",IF(AND(M41&gt;0,M41&lt;5%),"CARENZE INFERIORI AL 5%",IF(AND(OR(J41&gt;0,K41&gt;0,L41&gt;0,M41&gt;0,I41="Si"),N41=""),"MOTIVARE ESCLUSIONE O RIDUZIONE",IF(AND(G41&gt;0,H41="Da verificare"),"ATTESTAZIONE DA ACQUISIRE",IF(AND(G41&gt;0,H41="Si",N41=""),"INDICARE ATTI ATTIVITA","COERENTE"))))))))))))))</f>
        <v/>
      </c>
      <c r="AA41" s="2" t="str">
        <f t="shared" si="24"/>
        <v/>
      </c>
      <c r="AB41" s="2" t="str">
        <f>IF(A41="","",INDEX(Voci!$C$6:$C$24,MATCH(A41,Voci!$A$6:$A$24,0)))</f>
        <v/>
      </c>
      <c r="AC41" s="2">
        <f>IF(A41="",0,INDEX(Voci!$B$6:$B$24,MATCH(A41,Voci!$A$6:$A$24,0)))</f>
        <v>0</v>
      </c>
      <c r="AD41" s="2">
        <f t="shared" si="25"/>
        <v>0</v>
      </c>
      <c r="AE41" s="2">
        <f t="shared" si="26"/>
        <v>0</v>
      </c>
      <c r="AF41" s="2">
        <f t="shared" si="27"/>
        <v>0</v>
      </c>
      <c r="AG41" s="2">
        <f t="shared" si="28"/>
        <v>0</v>
      </c>
      <c r="AH41">
        <f t="shared" si="29"/>
        <v>0</v>
      </c>
    </row>
    <row r="42" spans="1:34" ht="24" customHeight="1">
      <c r="A42" s="5"/>
      <c r="B42" s="5"/>
      <c r="C42" s="5"/>
      <c r="D42" s="8"/>
      <c r="E42" s="10">
        <f>IF(OR(A42="",B42=""),0,IF(ISNUMBER(D42),D42,IF(OR(AND(Procedura!$B$10="Lavori",AC42=10),AND(Procedura!$B$10&lt;&gt;"Lavori",AC42=2)),IF(Procedura!$B$29="Si",IF(C42="RUP",IF(Procedura!$B$10="Lavori",20%,IF(Voci!$M$7&gt;0,(Voci!$J$7*(1-Procedura!$B$39)+(Voci!$J$7*Procedura!$B$39-Voci!$L$7)*20%)/Voci!$M$7,0)),IF(C42="Responsabile fase",IF(Procedura!$B$10="Lavori",80%,IF(Voci!$M$7&gt;0,(Voci!$J$7*Procedura!$B$39-Voci!$L$7)*80%/Voci!$M$7,0)),0)),IF(C42="RUP",1,0)),IF(IF(Procedura!$B$10="Lavori",OR(AC42=3,AC42=13),AC42=5),IF(C42="RUP",1,0),IF(IF(Procedura!$B$10="Lavori",OR(AC42=4,AC42=11,AC42=14),OR(AC42=3,AC42=6)),IF(AND(AD42&gt;0,AE42&gt;0),IF(OR(C42="Supporto",C42="Responsabile fase"),60%/AD42,IF(C42="Altro",40%/AE42,0)),IF(AF42&gt;0,1/AF42,0)),IF(AF42&gt;0,1/AF42,0))))))</f>
        <v>0</v>
      </c>
      <c r="F42" s="11">
        <f>IF(A42="",0,INDEX(Voci!$M$6:$M$24,MATCH(A42,Voci!$A$6:$A$24,0))*E42)</f>
        <v>0</v>
      </c>
      <c r="G42" s="11">
        <f>IF(A42="",0,INDEX(Voci!$O$6:$O$24,MATCH(A42,Voci!$A$6:$A$24,0))*E42)</f>
        <v>0</v>
      </c>
      <c r="H42" s="5" t="s">
        <v>60</v>
      </c>
      <c r="I42" s="5" t="s">
        <v>67</v>
      </c>
      <c r="J42" s="8">
        <v>0</v>
      </c>
      <c r="K42" s="8">
        <v>0</v>
      </c>
      <c r="L42" s="8">
        <v>0</v>
      </c>
      <c r="M42" s="8">
        <v>0</v>
      </c>
      <c r="N42" s="5"/>
      <c r="O42" s="10">
        <f t="shared" si="15"/>
        <v>0</v>
      </c>
      <c r="P42" s="10">
        <f t="shared" si="16"/>
        <v>0</v>
      </c>
      <c r="Q42" s="10">
        <f t="shared" si="17"/>
        <v>0</v>
      </c>
      <c r="R42" s="10">
        <f t="shared" si="18"/>
        <v>0</v>
      </c>
      <c r="S42" s="11">
        <f t="shared" si="19"/>
        <v>0</v>
      </c>
      <c r="T42" s="11">
        <f t="shared" si="20"/>
        <v>0</v>
      </c>
      <c r="U42" s="11">
        <f t="shared" si="21"/>
        <v>0</v>
      </c>
      <c r="V42" s="10">
        <f>IF(B42="",0,INDEX(Personale!$F$6:$F$25,MATCH(B42,Personale!$A$6:$A$25,0)))</f>
        <v>0</v>
      </c>
      <c r="W42" s="11">
        <f t="shared" si="22"/>
        <v>0</v>
      </c>
      <c r="X42" s="11">
        <f t="shared" si="23"/>
        <v>0</v>
      </c>
      <c r="Y42" s="11">
        <f>IF(B42="",0,W42*INDEX(Personale!$G$6:$G$25,MATCH(B42,Personale!$A$6:$A$25,0)))</f>
        <v>0</v>
      </c>
      <c r="Z42" s="2" t="str">
        <f>IF(AND(A42&lt;&gt;"",Procedura!$B$10&lt;&gt;"Lavori",AC42=7,B42=Procedura!$B$28),"DEC DEVE ESSERE DIVERSO DAL RUP",IF(AND(ISNUMBER(D42),OR(OR(AND(Procedura!$B$10="Lavori",AC42=10),AND(Procedura!$B$10&lt;&gt;"Lavori",AC42=2)),IF(Procedura!$B$10="Lavori",OR(AC42=3,AC42=13),AC42=5)),ABS(E42-IF(IF(Procedura!$B$10="Lavori",OR(AC42=3,AC42=13),AC42=5),1,IF(Procedura!$B$29="No",1,IF(C42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FISSO",IF(AND(A42="",B42=""),"",IF(OR(A42="",B42="",C42=""),"COMPLETARE VOCE PERSONA RUOLO",IF(COUNTIFS($AA$6:$AA$105,AA42)&gt;1,"PERSONA RIPETUTA NELLA VOCE",IF(INDEX(Voci!$F$6:$F$24,MATCH(A42,Voci!$A$6:$A$24,0))&lt;&gt;"Interna","VOCE NON INTERNA",IF(OR(AND(C42="RUP",B42&lt;&gt;Procedura!$B$28),AND(C42="Responsabile fase",OR(Procedura!$B$29&lt;&gt;"Si",B42&lt;&gt;Procedura!$B$30)),AND(OR(OR(AND(Procedura!$B$10="Lavori",AC42=10),AND(Procedura!$B$10&lt;&gt;"Lavori",AC42=2)),IF(Procedura!$B$10="Lavori",OR(AC42=3,AC42=13),AC42=5)),NOT(OR(C42="RUP",AND(OR(AND(Procedura!$B$10="Lavori",AC42=10),AND(Procedura!$B$10&lt;&gt;"Lavori",AC42=2)),C42="Responsabile fase",Procedura!$B$29="Si")))),AND(IF(Procedura!$B$10="Lavori",OR(AC42=4,AC42=11,AC42=14),OR(AC42=3,AC42=6)),NOT(OR(C42="Supporto",C42="Altro",C42="Responsabile fase")))),"RUOLO NON COERENTE",IF(AND(IF(Procedura!$B$10="Lavori",OR(AC42=4,AC42=11,AC42=14),OR(AC42=3,AC42=6)),B42=Procedura!$B$28),"RUP E COLLABORAZIONE INCOMPATIBILI",IF(AND(AG42&gt;0,AG42&lt;&gt;AF42),"PESI MANUALI SOLO SU ALCUNE RIGHE",IF(AND(J42&gt;0,NOT(AND(Procedura!$B$10="Lavori",OR(AC42=5,AC42=6)))),"RITARDO PROGETTAZIONE NON PERTINENTE",IF(AND(M42&gt;0,M42&lt;5%),"CARENZE INFERIORI AL 5%",IF(AND(OR(J42&gt;0,K42&gt;0,L42&gt;0,M42&gt;0,I42="Si"),N42=""),"MOTIVARE ESCLUSIONE O RIDUZIONE",IF(AND(G42&gt;0,H42="Da verificare"),"ATTESTAZIONE DA ACQUISIRE",IF(AND(G42&gt;0,H42="Si",N42=""),"INDICARE ATTI ATTIVITA","COERENTE"))))))))))))))</f>
        <v/>
      </c>
      <c r="AA42" s="2" t="str">
        <f t="shared" si="24"/>
        <v/>
      </c>
      <c r="AB42" s="2" t="str">
        <f>IF(A42="","",INDEX(Voci!$C$6:$C$24,MATCH(A42,Voci!$A$6:$A$24,0)))</f>
        <v/>
      </c>
      <c r="AC42" s="2">
        <f>IF(A42="",0,INDEX(Voci!$B$6:$B$24,MATCH(A42,Voci!$A$6:$A$24,0)))</f>
        <v>0</v>
      </c>
      <c r="AD42" s="2">
        <f t="shared" si="25"/>
        <v>0</v>
      </c>
      <c r="AE42" s="2">
        <f t="shared" si="26"/>
        <v>0</v>
      </c>
      <c r="AF42" s="2">
        <f t="shared" si="27"/>
        <v>0</v>
      </c>
      <c r="AG42" s="2">
        <f t="shared" si="28"/>
        <v>0</v>
      </c>
      <c r="AH42">
        <f t="shared" si="29"/>
        <v>0</v>
      </c>
    </row>
    <row r="43" spans="1:34" ht="24" customHeight="1">
      <c r="A43" s="5"/>
      <c r="B43" s="5"/>
      <c r="C43" s="5"/>
      <c r="D43" s="8"/>
      <c r="E43" s="10">
        <f>IF(OR(A43="",B43=""),0,IF(ISNUMBER(D43),D43,IF(OR(AND(Procedura!$B$10="Lavori",AC43=10),AND(Procedura!$B$10&lt;&gt;"Lavori",AC43=2)),IF(Procedura!$B$29="Si",IF(C43="RUP",IF(Procedura!$B$10="Lavori",20%,IF(Voci!$M$7&gt;0,(Voci!$J$7*(1-Procedura!$B$39)+(Voci!$J$7*Procedura!$B$39-Voci!$L$7)*20%)/Voci!$M$7,0)),IF(C43="Responsabile fase",IF(Procedura!$B$10="Lavori",80%,IF(Voci!$M$7&gt;0,(Voci!$J$7*Procedura!$B$39-Voci!$L$7)*80%/Voci!$M$7,0)),0)),IF(C43="RUP",1,0)),IF(IF(Procedura!$B$10="Lavori",OR(AC43=3,AC43=13),AC43=5),IF(C43="RUP",1,0),IF(IF(Procedura!$B$10="Lavori",OR(AC43=4,AC43=11,AC43=14),OR(AC43=3,AC43=6)),IF(AND(AD43&gt;0,AE43&gt;0),IF(OR(C43="Supporto",C43="Responsabile fase"),60%/AD43,IF(C43="Altro",40%/AE43,0)),IF(AF43&gt;0,1/AF43,0)),IF(AF43&gt;0,1/AF43,0))))))</f>
        <v>0</v>
      </c>
      <c r="F43" s="11">
        <f>IF(A43="",0,INDEX(Voci!$M$6:$M$24,MATCH(A43,Voci!$A$6:$A$24,0))*E43)</f>
        <v>0</v>
      </c>
      <c r="G43" s="11">
        <f>IF(A43="",0,INDEX(Voci!$O$6:$O$24,MATCH(A43,Voci!$A$6:$A$24,0))*E43)</f>
        <v>0</v>
      </c>
      <c r="H43" s="5" t="s">
        <v>60</v>
      </c>
      <c r="I43" s="5" t="s">
        <v>67</v>
      </c>
      <c r="J43" s="8">
        <v>0</v>
      </c>
      <c r="K43" s="8">
        <v>0</v>
      </c>
      <c r="L43" s="8">
        <v>0</v>
      </c>
      <c r="M43" s="8">
        <v>0</v>
      </c>
      <c r="N43" s="5"/>
      <c r="O43" s="10">
        <f t="shared" si="15"/>
        <v>0</v>
      </c>
      <c r="P43" s="10">
        <f t="shared" si="16"/>
        <v>0</v>
      </c>
      <c r="Q43" s="10">
        <f t="shared" si="17"/>
        <v>0</v>
      </c>
      <c r="R43" s="10">
        <f t="shared" si="18"/>
        <v>0</v>
      </c>
      <c r="S43" s="11">
        <f t="shared" si="19"/>
        <v>0</v>
      </c>
      <c r="T43" s="11">
        <f t="shared" si="20"/>
        <v>0</v>
      </c>
      <c r="U43" s="11">
        <f t="shared" si="21"/>
        <v>0</v>
      </c>
      <c r="V43" s="10">
        <f>IF(B43="",0,INDEX(Personale!$F$6:$F$25,MATCH(B43,Personale!$A$6:$A$25,0)))</f>
        <v>0</v>
      </c>
      <c r="W43" s="11">
        <f t="shared" si="22"/>
        <v>0</v>
      </c>
      <c r="X43" s="11">
        <f t="shared" si="23"/>
        <v>0</v>
      </c>
      <c r="Y43" s="11">
        <f>IF(B43="",0,W43*INDEX(Personale!$G$6:$G$25,MATCH(B43,Personale!$A$6:$A$25,0)))</f>
        <v>0</v>
      </c>
      <c r="Z43" s="2" t="str">
        <f>IF(AND(A43&lt;&gt;"",Procedura!$B$10&lt;&gt;"Lavori",AC43=7,B43=Procedura!$B$28),"DEC DEVE ESSERE DIVERSO DAL RUP",IF(AND(ISNUMBER(D43),OR(OR(AND(Procedura!$B$10="Lavori",AC43=10),AND(Procedura!$B$10&lt;&gt;"Lavori",AC43=2)),IF(Procedura!$B$10="Lavori",OR(AC43=3,AC43=13),AC43=5)),ABS(E43-IF(IF(Procedura!$B$10="Lavori",OR(AC43=3,AC43=13),AC43=5),1,IF(Procedura!$B$29="No",1,IF(C43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FISSO",IF(AND(A43="",B43=""),"",IF(OR(A43="",B43="",C43=""),"COMPLETARE VOCE PERSONA RUOLO",IF(COUNTIFS($AA$6:$AA$105,AA43)&gt;1,"PERSONA RIPETUTA NELLA VOCE",IF(INDEX(Voci!$F$6:$F$24,MATCH(A43,Voci!$A$6:$A$24,0))&lt;&gt;"Interna","VOCE NON INTERNA",IF(OR(AND(C43="RUP",B43&lt;&gt;Procedura!$B$28),AND(C43="Responsabile fase",OR(Procedura!$B$29&lt;&gt;"Si",B43&lt;&gt;Procedura!$B$30)),AND(OR(OR(AND(Procedura!$B$10="Lavori",AC43=10),AND(Procedura!$B$10&lt;&gt;"Lavori",AC43=2)),IF(Procedura!$B$10="Lavori",OR(AC43=3,AC43=13),AC43=5)),NOT(OR(C43="RUP",AND(OR(AND(Procedura!$B$10="Lavori",AC43=10),AND(Procedura!$B$10&lt;&gt;"Lavori",AC43=2)),C43="Responsabile fase",Procedura!$B$29="Si")))),AND(IF(Procedura!$B$10="Lavori",OR(AC43=4,AC43=11,AC43=14),OR(AC43=3,AC43=6)),NOT(OR(C43="Supporto",C43="Altro",C43="Responsabile fase")))),"RUOLO NON COERENTE",IF(AND(IF(Procedura!$B$10="Lavori",OR(AC43=4,AC43=11,AC43=14),OR(AC43=3,AC43=6)),B43=Procedura!$B$28),"RUP E COLLABORAZIONE INCOMPATIBILI",IF(AND(AG43&gt;0,AG43&lt;&gt;AF43),"PESI MANUALI SOLO SU ALCUNE RIGHE",IF(AND(J43&gt;0,NOT(AND(Procedura!$B$10="Lavori",OR(AC43=5,AC43=6)))),"RITARDO PROGETTAZIONE NON PERTINENTE",IF(AND(M43&gt;0,M43&lt;5%),"CARENZE INFERIORI AL 5%",IF(AND(OR(J43&gt;0,K43&gt;0,L43&gt;0,M43&gt;0,I43="Si"),N43=""),"MOTIVARE ESCLUSIONE O RIDUZIONE",IF(AND(G43&gt;0,H43="Da verificare"),"ATTESTAZIONE DA ACQUISIRE",IF(AND(G43&gt;0,H43="Si",N43=""),"INDICARE ATTI ATTIVITA","COERENTE"))))))))))))))</f>
        <v/>
      </c>
      <c r="AA43" s="2" t="str">
        <f t="shared" si="24"/>
        <v/>
      </c>
      <c r="AB43" s="2" t="str">
        <f>IF(A43="","",INDEX(Voci!$C$6:$C$24,MATCH(A43,Voci!$A$6:$A$24,0)))</f>
        <v/>
      </c>
      <c r="AC43" s="2">
        <f>IF(A43="",0,INDEX(Voci!$B$6:$B$24,MATCH(A43,Voci!$A$6:$A$24,0)))</f>
        <v>0</v>
      </c>
      <c r="AD43" s="2">
        <f t="shared" si="25"/>
        <v>0</v>
      </c>
      <c r="AE43" s="2">
        <f t="shared" si="26"/>
        <v>0</v>
      </c>
      <c r="AF43" s="2">
        <f t="shared" si="27"/>
        <v>0</v>
      </c>
      <c r="AG43" s="2">
        <f t="shared" si="28"/>
        <v>0</v>
      </c>
      <c r="AH43">
        <f t="shared" si="29"/>
        <v>0</v>
      </c>
    </row>
    <row r="44" spans="1:34" ht="24" customHeight="1">
      <c r="A44" s="5"/>
      <c r="B44" s="5"/>
      <c r="C44" s="5"/>
      <c r="D44" s="8"/>
      <c r="E44" s="10">
        <f>IF(OR(A44="",B44=""),0,IF(ISNUMBER(D44),D44,IF(OR(AND(Procedura!$B$10="Lavori",AC44=10),AND(Procedura!$B$10&lt;&gt;"Lavori",AC44=2)),IF(Procedura!$B$29="Si",IF(C44="RUP",IF(Procedura!$B$10="Lavori",20%,IF(Voci!$M$7&gt;0,(Voci!$J$7*(1-Procedura!$B$39)+(Voci!$J$7*Procedura!$B$39-Voci!$L$7)*20%)/Voci!$M$7,0)),IF(C44="Responsabile fase",IF(Procedura!$B$10="Lavori",80%,IF(Voci!$M$7&gt;0,(Voci!$J$7*Procedura!$B$39-Voci!$L$7)*80%/Voci!$M$7,0)),0)),IF(C44="RUP",1,0)),IF(IF(Procedura!$B$10="Lavori",OR(AC44=3,AC44=13),AC44=5),IF(C44="RUP",1,0),IF(IF(Procedura!$B$10="Lavori",OR(AC44=4,AC44=11,AC44=14),OR(AC44=3,AC44=6)),IF(AND(AD44&gt;0,AE44&gt;0),IF(OR(C44="Supporto",C44="Responsabile fase"),60%/AD44,IF(C44="Altro",40%/AE44,0)),IF(AF44&gt;0,1/AF44,0)),IF(AF44&gt;0,1/AF44,0))))))</f>
        <v>0</v>
      </c>
      <c r="F44" s="11">
        <f>IF(A44="",0,INDEX(Voci!$M$6:$M$24,MATCH(A44,Voci!$A$6:$A$24,0))*E44)</f>
        <v>0</v>
      </c>
      <c r="G44" s="11">
        <f>IF(A44="",0,INDEX(Voci!$O$6:$O$24,MATCH(A44,Voci!$A$6:$A$24,0))*E44)</f>
        <v>0</v>
      </c>
      <c r="H44" s="5" t="s">
        <v>60</v>
      </c>
      <c r="I44" s="5" t="s">
        <v>67</v>
      </c>
      <c r="J44" s="8">
        <v>0</v>
      </c>
      <c r="K44" s="8">
        <v>0</v>
      </c>
      <c r="L44" s="8">
        <v>0</v>
      </c>
      <c r="M44" s="8">
        <v>0</v>
      </c>
      <c r="N44" s="5"/>
      <c r="O44" s="10">
        <f t="shared" si="15"/>
        <v>0</v>
      </c>
      <c r="P44" s="10">
        <f t="shared" si="16"/>
        <v>0</v>
      </c>
      <c r="Q44" s="10">
        <f t="shared" si="17"/>
        <v>0</v>
      </c>
      <c r="R44" s="10">
        <f t="shared" si="18"/>
        <v>0</v>
      </c>
      <c r="S44" s="11">
        <f t="shared" si="19"/>
        <v>0</v>
      </c>
      <c r="T44" s="11">
        <f t="shared" si="20"/>
        <v>0</v>
      </c>
      <c r="U44" s="11">
        <f t="shared" si="21"/>
        <v>0</v>
      </c>
      <c r="V44" s="10">
        <f>IF(B44="",0,INDEX(Personale!$F$6:$F$25,MATCH(B44,Personale!$A$6:$A$25,0)))</f>
        <v>0</v>
      </c>
      <c r="W44" s="11">
        <f t="shared" si="22"/>
        <v>0</v>
      </c>
      <c r="X44" s="11">
        <f t="shared" si="23"/>
        <v>0</v>
      </c>
      <c r="Y44" s="11">
        <f>IF(B44="",0,W44*INDEX(Personale!$G$6:$G$25,MATCH(B44,Personale!$A$6:$A$25,0)))</f>
        <v>0</v>
      </c>
      <c r="Z44" s="2" t="str">
        <f>IF(AND(A44&lt;&gt;"",Procedura!$B$10&lt;&gt;"Lavori",AC44=7,B44=Procedura!$B$28),"DEC DEVE ESSERE DIVERSO DAL RUP",IF(AND(ISNUMBER(D44),OR(OR(AND(Procedura!$B$10="Lavori",AC44=10),AND(Procedura!$B$10&lt;&gt;"Lavori",AC44=2)),IF(Procedura!$B$10="Lavori",OR(AC44=3,AC44=13),AC44=5)),ABS(E44-IF(IF(Procedura!$B$10="Lavori",OR(AC44=3,AC44=13),AC44=5),1,IF(Procedura!$B$29="No",1,IF(C44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FISSO",IF(AND(A44="",B44=""),"",IF(OR(A44="",B44="",C44=""),"COMPLETARE VOCE PERSONA RUOLO",IF(COUNTIFS($AA$6:$AA$105,AA44)&gt;1,"PERSONA RIPETUTA NELLA VOCE",IF(INDEX(Voci!$F$6:$F$24,MATCH(A44,Voci!$A$6:$A$24,0))&lt;&gt;"Interna","VOCE NON INTERNA",IF(OR(AND(C44="RUP",B44&lt;&gt;Procedura!$B$28),AND(C44="Responsabile fase",OR(Procedura!$B$29&lt;&gt;"Si",B44&lt;&gt;Procedura!$B$30)),AND(OR(OR(AND(Procedura!$B$10="Lavori",AC44=10),AND(Procedura!$B$10&lt;&gt;"Lavori",AC44=2)),IF(Procedura!$B$10="Lavori",OR(AC44=3,AC44=13),AC44=5)),NOT(OR(C44="RUP",AND(OR(AND(Procedura!$B$10="Lavori",AC44=10),AND(Procedura!$B$10&lt;&gt;"Lavori",AC44=2)),C44="Responsabile fase",Procedura!$B$29="Si")))),AND(IF(Procedura!$B$10="Lavori",OR(AC44=4,AC44=11,AC44=14),OR(AC44=3,AC44=6)),NOT(OR(C44="Supporto",C44="Altro",C44="Responsabile fase")))),"RUOLO NON COERENTE",IF(AND(IF(Procedura!$B$10="Lavori",OR(AC44=4,AC44=11,AC44=14),OR(AC44=3,AC44=6)),B44=Procedura!$B$28),"RUP E COLLABORAZIONE INCOMPATIBILI",IF(AND(AG44&gt;0,AG44&lt;&gt;AF44),"PESI MANUALI SOLO SU ALCUNE RIGHE",IF(AND(J44&gt;0,NOT(AND(Procedura!$B$10="Lavori",OR(AC44=5,AC44=6)))),"RITARDO PROGETTAZIONE NON PERTINENTE",IF(AND(M44&gt;0,M44&lt;5%),"CARENZE INFERIORI AL 5%",IF(AND(OR(J44&gt;0,K44&gt;0,L44&gt;0,M44&gt;0,I44="Si"),N44=""),"MOTIVARE ESCLUSIONE O RIDUZIONE",IF(AND(G44&gt;0,H44="Da verificare"),"ATTESTAZIONE DA ACQUISIRE",IF(AND(G44&gt;0,H44="Si",N44=""),"INDICARE ATTI ATTIVITA","COERENTE"))))))))))))))</f>
        <v/>
      </c>
      <c r="AA44" s="2" t="str">
        <f t="shared" si="24"/>
        <v/>
      </c>
      <c r="AB44" s="2" t="str">
        <f>IF(A44="","",INDEX(Voci!$C$6:$C$24,MATCH(A44,Voci!$A$6:$A$24,0)))</f>
        <v/>
      </c>
      <c r="AC44" s="2">
        <f>IF(A44="",0,INDEX(Voci!$B$6:$B$24,MATCH(A44,Voci!$A$6:$A$24,0)))</f>
        <v>0</v>
      </c>
      <c r="AD44" s="2">
        <f t="shared" si="25"/>
        <v>0</v>
      </c>
      <c r="AE44" s="2">
        <f t="shared" si="26"/>
        <v>0</v>
      </c>
      <c r="AF44" s="2">
        <f t="shared" si="27"/>
        <v>0</v>
      </c>
      <c r="AG44" s="2">
        <f t="shared" si="28"/>
        <v>0</v>
      </c>
      <c r="AH44">
        <f t="shared" si="29"/>
        <v>0</v>
      </c>
    </row>
    <row r="45" spans="1:34" ht="24" customHeight="1">
      <c r="A45" s="5"/>
      <c r="B45" s="5"/>
      <c r="C45" s="5"/>
      <c r="D45" s="8"/>
      <c r="E45" s="10">
        <f>IF(OR(A45="",B45=""),0,IF(ISNUMBER(D45),D45,IF(OR(AND(Procedura!$B$10="Lavori",AC45=10),AND(Procedura!$B$10&lt;&gt;"Lavori",AC45=2)),IF(Procedura!$B$29="Si",IF(C45="RUP",IF(Procedura!$B$10="Lavori",20%,IF(Voci!$M$7&gt;0,(Voci!$J$7*(1-Procedura!$B$39)+(Voci!$J$7*Procedura!$B$39-Voci!$L$7)*20%)/Voci!$M$7,0)),IF(C45="Responsabile fase",IF(Procedura!$B$10="Lavori",80%,IF(Voci!$M$7&gt;0,(Voci!$J$7*Procedura!$B$39-Voci!$L$7)*80%/Voci!$M$7,0)),0)),IF(C45="RUP",1,0)),IF(IF(Procedura!$B$10="Lavori",OR(AC45=3,AC45=13),AC45=5),IF(C45="RUP",1,0),IF(IF(Procedura!$B$10="Lavori",OR(AC45=4,AC45=11,AC45=14),OR(AC45=3,AC45=6)),IF(AND(AD45&gt;0,AE45&gt;0),IF(OR(C45="Supporto",C45="Responsabile fase"),60%/AD45,IF(C45="Altro",40%/AE45,0)),IF(AF45&gt;0,1/AF45,0)),IF(AF45&gt;0,1/AF45,0))))))</f>
        <v>0</v>
      </c>
      <c r="F45" s="11">
        <f>IF(A45="",0,INDEX(Voci!$M$6:$M$24,MATCH(A45,Voci!$A$6:$A$24,0))*E45)</f>
        <v>0</v>
      </c>
      <c r="G45" s="11">
        <f>IF(A45="",0,INDEX(Voci!$O$6:$O$24,MATCH(A45,Voci!$A$6:$A$24,0))*E45)</f>
        <v>0</v>
      </c>
      <c r="H45" s="5" t="s">
        <v>60</v>
      </c>
      <c r="I45" s="5" t="s">
        <v>67</v>
      </c>
      <c r="J45" s="8">
        <v>0</v>
      </c>
      <c r="K45" s="8">
        <v>0</v>
      </c>
      <c r="L45" s="8">
        <v>0</v>
      </c>
      <c r="M45" s="8">
        <v>0</v>
      </c>
      <c r="N45" s="5"/>
      <c r="O45" s="10">
        <f t="shared" si="15"/>
        <v>0</v>
      </c>
      <c r="P45" s="10">
        <f t="shared" si="16"/>
        <v>0</v>
      </c>
      <c r="Q45" s="10">
        <f t="shared" si="17"/>
        <v>0</v>
      </c>
      <c r="R45" s="10">
        <f t="shared" si="18"/>
        <v>0</v>
      </c>
      <c r="S45" s="11">
        <f t="shared" si="19"/>
        <v>0</v>
      </c>
      <c r="T45" s="11">
        <f t="shared" si="20"/>
        <v>0</v>
      </c>
      <c r="U45" s="11">
        <f t="shared" si="21"/>
        <v>0</v>
      </c>
      <c r="V45" s="10">
        <f>IF(B45="",0,INDEX(Personale!$F$6:$F$25,MATCH(B45,Personale!$A$6:$A$25,0)))</f>
        <v>0</v>
      </c>
      <c r="W45" s="11">
        <f t="shared" si="22"/>
        <v>0</v>
      </c>
      <c r="X45" s="11">
        <f t="shared" si="23"/>
        <v>0</v>
      </c>
      <c r="Y45" s="11">
        <f>IF(B45="",0,W45*INDEX(Personale!$G$6:$G$25,MATCH(B45,Personale!$A$6:$A$25,0)))</f>
        <v>0</v>
      </c>
      <c r="Z45" s="2" t="str">
        <f>IF(AND(A45&lt;&gt;"",Procedura!$B$10&lt;&gt;"Lavori",AC45=7,B45=Procedura!$B$28),"DEC DEVE ESSERE DIVERSO DAL RUP",IF(AND(ISNUMBER(D45),OR(OR(AND(Procedura!$B$10="Lavori",AC45=10),AND(Procedura!$B$10&lt;&gt;"Lavori",AC45=2)),IF(Procedura!$B$10="Lavori",OR(AC45=3,AC45=13),AC45=5)),ABS(E45-IF(IF(Procedura!$B$10="Lavori",OR(AC45=3,AC45=13),AC45=5),1,IF(Procedura!$B$29="No",1,IF(C45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FISSO",IF(AND(A45="",B45=""),"",IF(OR(A45="",B45="",C45=""),"COMPLETARE VOCE PERSONA RUOLO",IF(COUNTIFS($AA$6:$AA$105,AA45)&gt;1,"PERSONA RIPETUTA NELLA VOCE",IF(INDEX(Voci!$F$6:$F$24,MATCH(A45,Voci!$A$6:$A$24,0))&lt;&gt;"Interna","VOCE NON INTERNA",IF(OR(AND(C45="RUP",B45&lt;&gt;Procedura!$B$28),AND(C45="Responsabile fase",OR(Procedura!$B$29&lt;&gt;"Si",B45&lt;&gt;Procedura!$B$30)),AND(OR(OR(AND(Procedura!$B$10="Lavori",AC45=10),AND(Procedura!$B$10&lt;&gt;"Lavori",AC45=2)),IF(Procedura!$B$10="Lavori",OR(AC45=3,AC45=13),AC45=5)),NOT(OR(C45="RUP",AND(OR(AND(Procedura!$B$10="Lavori",AC45=10),AND(Procedura!$B$10&lt;&gt;"Lavori",AC45=2)),C45="Responsabile fase",Procedura!$B$29="Si")))),AND(IF(Procedura!$B$10="Lavori",OR(AC45=4,AC45=11,AC45=14),OR(AC45=3,AC45=6)),NOT(OR(C45="Supporto",C45="Altro",C45="Responsabile fase")))),"RUOLO NON COERENTE",IF(AND(IF(Procedura!$B$10="Lavori",OR(AC45=4,AC45=11,AC45=14),OR(AC45=3,AC45=6)),B45=Procedura!$B$28),"RUP E COLLABORAZIONE INCOMPATIBILI",IF(AND(AG45&gt;0,AG45&lt;&gt;AF45),"PESI MANUALI SOLO SU ALCUNE RIGHE",IF(AND(J45&gt;0,NOT(AND(Procedura!$B$10="Lavori",OR(AC45=5,AC45=6)))),"RITARDO PROGETTAZIONE NON PERTINENTE",IF(AND(M45&gt;0,M45&lt;5%),"CARENZE INFERIORI AL 5%",IF(AND(OR(J45&gt;0,K45&gt;0,L45&gt;0,M45&gt;0,I45="Si"),N45=""),"MOTIVARE ESCLUSIONE O RIDUZIONE",IF(AND(G45&gt;0,H45="Da verificare"),"ATTESTAZIONE DA ACQUISIRE",IF(AND(G45&gt;0,H45="Si",N45=""),"INDICARE ATTI ATTIVITA","COERENTE"))))))))))))))</f>
        <v/>
      </c>
      <c r="AA45" s="2" t="str">
        <f t="shared" si="24"/>
        <v/>
      </c>
      <c r="AB45" s="2" t="str">
        <f>IF(A45="","",INDEX(Voci!$C$6:$C$24,MATCH(A45,Voci!$A$6:$A$24,0)))</f>
        <v/>
      </c>
      <c r="AC45" s="2">
        <f>IF(A45="",0,INDEX(Voci!$B$6:$B$24,MATCH(A45,Voci!$A$6:$A$24,0)))</f>
        <v>0</v>
      </c>
      <c r="AD45" s="2">
        <f t="shared" si="25"/>
        <v>0</v>
      </c>
      <c r="AE45" s="2">
        <f t="shared" si="26"/>
        <v>0</v>
      </c>
      <c r="AF45" s="2">
        <f t="shared" si="27"/>
        <v>0</v>
      </c>
      <c r="AG45" s="2">
        <f t="shared" si="28"/>
        <v>0</v>
      </c>
      <c r="AH45">
        <f t="shared" si="29"/>
        <v>0</v>
      </c>
    </row>
    <row r="46" spans="1:34" ht="24" customHeight="1">
      <c r="A46" s="5"/>
      <c r="B46" s="5"/>
      <c r="C46" s="5"/>
      <c r="D46" s="8"/>
      <c r="E46" s="10">
        <f>IF(OR(A46="",B46=""),0,IF(ISNUMBER(D46),D46,IF(OR(AND(Procedura!$B$10="Lavori",AC46=10),AND(Procedura!$B$10&lt;&gt;"Lavori",AC46=2)),IF(Procedura!$B$29="Si",IF(C46="RUP",IF(Procedura!$B$10="Lavori",20%,IF(Voci!$M$7&gt;0,(Voci!$J$7*(1-Procedura!$B$39)+(Voci!$J$7*Procedura!$B$39-Voci!$L$7)*20%)/Voci!$M$7,0)),IF(C46="Responsabile fase",IF(Procedura!$B$10="Lavori",80%,IF(Voci!$M$7&gt;0,(Voci!$J$7*Procedura!$B$39-Voci!$L$7)*80%/Voci!$M$7,0)),0)),IF(C46="RUP",1,0)),IF(IF(Procedura!$B$10="Lavori",OR(AC46=3,AC46=13),AC46=5),IF(C46="RUP",1,0),IF(IF(Procedura!$B$10="Lavori",OR(AC46=4,AC46=11,AC46=14),OR(AC46=3,AC46=6)),IF(AND(AD46&gt;0,AE46&gt;0),IF(OR(C46="Supporto",C46="Responsabile fase"),60%/AD46,IF(C46="Altro",40%/AE46,0)),IF(AF46&gt;0,1/AF46,0)),IF(AF46&gt;0,1/AF46,0))))))</f>
        <v>0</v>
      </c>
      <c r="F46" s="11">
        <f>IF(A46="",0,INDEX(Voci!$M$6:$M$24,MATCH(A46,Voci!$A$6:$A$24,0))*E46)</f>
        <v>0</v>
      </c>
      <c r="G46" s="11">
        <f>IF(A46="",0,INDEX(Voci!$O$6:$O$24,MATCH(A46,Voci!$A$6:$A$24,0))*E46)</f>
        <v>0</v>
      </c>
      <c r="H46" s="5" t="s">
        <v>60</v>
      </c>
      <c r="I46" s="5" t="s">
        <v>67</v>
      </c>
      <c r="J46" s="8">
        <v>0</v>
      </c>
      <c r="K46" s="8">
        <v>0</v>
      </c>
      <c r="L46" s="8">
        <v>0</v>
      </c>
      <c r="M46" s="8">
        <v>0</v>
      </c>
      <c r="N46" s="5"/>
      <c r="O46" s="10">
        <f t="shared" si="15"/>
        <v>0</v>
      </c>
      <c r="P46" s="10">
        <f t="shared" si="16"/>
        <v>0</v>
      </c>
      <c r="Q46" s="10">
        <f t="shared" si="17"/>
        <v>0</v>
      </c>
      <c r="R46" s="10">
        <f t="shared" si="18"/>
        <v>0</v>
      </c>
      <c r="S46" s="11">
        <f t="shared" si="19"/>
        <v>0</v>
      </c>
      <c r="T46" s="11">
        <f t="shared" si="20"/>
        <v>0</v>
      </c>
      <c r="U46" s="11">
        <f t="shared" si="21"/>
        <v>0</v>
      </c>
      <c r="V46" s="10">
        <f>IF(B46="",0,INDEX(Personale!$F$6:$F$25,MATCH(B46,Personale!$A$6:$A$25,0)))</f>
        <v>0</v>
      </c>
      <c r="W46" s="11">
        <f t="shared" si="22"/>
        <v>0</v>
      </c>
      <c r="X46" s="11">
        <f t="shared" si="23"/>
        <v>0</v>
      </c>
      <c r="Y46" s="11">
        <f>IF(B46="",0,W46*INDEX(Personale!$G$6:$G$25,MATCH(B46,Personale!$A$6:$A$25,0)))</f>
        <v>0</v>
      </c>
      <c r="Z46" s="2" t="str">
        <f>IF(AND(A46&lt;&gt;"",Procedura!$B$10&lt;&gt;"Lavori",AC46=7,B46=Procedura!$B$28),"DEC DEVE ESSERE DIVERSO DAL RUP",IF(AND(ISNUMBER(D46),OR(OR(AND(Procedura!$B$10="Lavori",AC46=10),AND(Procedura!$B$10&lt;&gt;"Lavori",AC46=2)),IF(Procedura!$B$10="Lavori",OR(AC46=3,AC46=13),AC46=5)),ABS(E46-IF(IF(Procedura!$B$10="Lavori",OR(AC46=3,AC46=13),AC46=5),1,IF(Procedura!$B$29="No",1,IF(C46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FISSO",IF(AND(A46="",B46=""),"",IF(OR(A46="",B46="",C46=""),"COMPLETARE VOCE PERSONA RUOLO",IF(COUNTIFS($AA$6:$AA$105,AA46)&gt;1,"PERSONA RIPETUTA NELLA VOCE",IF(INDEX(Voci!$F$6:$F$24,MATCH(A46,Voci!$A$6:$A$24,0))&lt;&gt;"Interna","VOCE NON INTERNA",IF(OR(AND(C46="RUP",B46&lt;&gt;Procedura!$B$28),AND(C46="Responsabile fase",OR(Procedura!$B$29&lt;&gt;"Si",B46&lt;&gt;Procedura!$B$30)),AND(OR(OR(AND(Procedura!$B$10="Lavori",AC46=10),AND(Procedura!$B$10&lt;&gt;"Lavori",AC46=2)),IF(Procedura!$B$10="Lavori",OR(AC46=3,AC46=13),AC46=5)),NOT(OR(C46="RUP",AND(OR(AND(Procedura!$B$10="Lavori",AC46=10),AND(Procedura!$B$10&lt;&gt;"Lavori",AC46=2)),C46="Responsabile fase",Procedura!$B$29="Si")))),AND(IF(Procedura!$B$10="Lavori",OR(AC46=4,AC46=11,AC46=14),OR(AC46=3,AC46=6)),NOT(OR(C46="Supporto",C46="Altro",C46="Responsabile fase")))),"RUOLO NON COERENTE",IF(AND(IF(Procedura!$B$10="Lavori",OR(AC46=4,AC46=11,AC46=14),OR(AC46=3,AC46=6)),B46=Procedura!$B$28),"RUP E COLLABORAZIONE INCOMPATIBILI",IF(AND(AG46&gt;0,AG46&lt;&gt;AF46),"PESI MANUALI SOLO SU ALCUNE RIGHE",IF(AND(J46&gt;0,NOT(AND(Procedura!$B$10="Lavori",OR(AC46=5,AC46=6)))),"RITARDO PROGETTAZIONE NON PERTINENTE",IF(AND(M46&gt;0,M46&lt;5%),"CARENZE INFERIORI AL 5%",IF(AND(OR(J46&gt;0,K46&gt;0,L46&gt;0,M46&gt;0,I46="Si"),N46=""),"MOTIVARE ESCLUSIONE O RIDUZIONE",IF(AND(G46&gt;0,H46="Da verificare"),"ATTESTAZIONE DA ACQUISIRE",IF(AND(G46&gt;0,H46="Si",N46=""),"INDICARE ATTI ATTIVITA","COERENTE"))))))))))))))</f>
        <v/>
      </c>
      <c r="AA46" s="2" t="str">
        <f t="shared" si="24"/>
        <v/>
      </c>
      <c r="AB46" s="2" t="str">
        <f>IF(A46="","",INDEX(Voci!$C$6:$C$24,MATCH(A46,Voci!$A$6:$A$24,0)))</f>
        <v/>
      </c>
      <c r="AC46" s="2">
        <f>IF(A46="",0,INDEX(Voci!$B$6:$B$24,MATCH(A46,Voci!$A$6:$A$24,0)))</f>
        <v>0</v>
      </c>
      <c r="AD46" s="2">
        <f t="shared" si="25"/>
        <v>0</v>
      </c>
      <c r="AE46" s="2">
        <f t="shared" si="26"/>
        <v>0</v>
      </c>
      <c r="AF46" s="2">
        <f t="shared" si="27"/>
        <v>0</v>
      </c>
      <c r="AG46" s="2">
        <f t="shared" si="28"/>
        <v>0</v>
      </c>
      <c r="AH46">
        <f t="shared" si="29"/>
        <v>0</v>
      </c>
    </row>
    <row r="47" spans="1:34" ht="24" customHeight="1">
      <c r="A47" s="5"/>
      <c r="B47" s="5"/>
      <c r="C47" s="5"/>
      <c r="D47" s="8"/>
      <c r="E47" s="10">
        <f>IF(OR(A47="",B47=""),0,IF(ISNUMBER(D47),D47,IF(OR(AND(Procedura!$B$10="Lavori",AC47=10),AND(Procedura!$B$10&lt;&gt;"Lavori",AC47=2)),IF(Procedura!$B$29="Si",IF(C47="RUP",IF(Procedura!$B$10="Lavori",20%,IF(Voci!$M$7&gt;0,(Voci!$J$7*(1-Procedura!$B$39)+(Voci!$J$7*Procedura!$B$39-Voci!$L$7)*20%)/Voci!$M$7,0)),IF(C47="Responsabile fase",IF(Procedura!$B$10="Lavori",80%,IF(Voci!$M$7&gt;0,(Voci!$J$7*Procedura!$B$39-Voci!$L$7)*80%/Voci!$M$7,0)),0)),IF(C47="RUP",1,0)),IF(IF(Procedura!$B$10="Lavori",OR(AC47=3,AC47=13),AC47=5),IF(C47="RUP",1,0),IF(IF(Procedura!$B$10="Lavori",OR(AC47=4,AC47=11,AC47=14),OR(AC47=3,AC47=6)),IF(AND(AD47&gt;0,AE47&gt;0),IF(OR(C47="Supporto",C47="Responsabile fase"),60%/AD47,IF(C47="Altro",40%/AE47,0)),IF(AF47&gt;0,1/AF47,0)),IF(AF47&gt;0,1/AF47,0))))))</f>
        <v>0</v>
      </c>
      <c r="F47" s="11">
        <f>IF(A47="",0,INDEX(Voci!$M$6:$M$24,MATCH(A47,Voci!$A$6:$A$24,0))*E47)</f>
        <v>0</v>
      </c>
      <c r="G47" s="11">
        <f>IF(A47="",0,INDEX(Voci!$O$6:$O$24,MATCH(A47,Voci!$A$6:$A$24,0))*E47)</f>
        <v>0</v>
      </c>
      <c r="H47" s="5" t="s">
        <v>60</v>
      </c>
      <c r="I47" s="5" t="s">
        <v>67</v>
      </c>
      <c r="J47" s="8">
        <v>0</v>
      </c>
      <c r="K47" s="8">
        <v>0</v>
      </c>
      <c r="L47" s="8">
        <v>0</v>
      </c>
      <c r="M47" s="8">
        <v>0</v>
      </c>
      <c r="N47" s="5"/>
      <c r="O47" s="10">
        <f t="shared" si="15"/>
        <v>0</v>
      </c>
      <c r="P47" s="10">
        <f t="shared" si="16"/>
        <v>0</v>
      </c>
      <c r="Q47" s="10">
        <f t="shared" si="17"/>
        <v>0</v>
      </c>
      <c r="R47" s="10">
        <f t="shared" si="18"/>
        <v>0</v>
      </c>
      <c r="S47" s="11">
        <f t="shared" si="19"/>
        <v>0</v>
      </c>
      <c r="T47" s="11">
        <f t="shared" si="20"/>
        <v>0</v>
      </c>
      <c r="U47" s="11">
        <f t="shared" si="21"/>
        <v>0</v>
      </c>
      <c r="V47" s="10">
        <f>IF(B47="",0,INDEX(Personale!$F$6:$F$25,MATCH(B47,Personale!$A$6:$A$25,0)))</f>
        <v>0</v>
      </c>
      <c r="W47" s="11">
        <f t="shared" si="22"/>
        <v>0</v>
      </c>
      <c r="X47" s="11">
        <f t="shared" si="23"/>
        <v>0</v>
      </c>
      <c r="Y47" s="11">
        <f>IF(B47="",0,W47*INDEX(Personale!$G$6:$G$25,MATCH(B47,Personale!$A$6:$A$25,0)))</f>
        <v>0</v>
      </c>
      <c r="Z47" s="2" t="str">
        <f>IF(AND(A47&lt;&gt;"",Procedura!$B$10&lt;&gt;"Lavori",AC47=7,B47=Procedura!$B$28),"DEC DEVE ESSERE DIVERSO DAL RUP",IF(AND(ISNUMBER(D47),OR(OR(AND(Procedura!$B$10="Lavori",AC47=10),AND(Procedura!$B$10&lt;&gt;"Lavori",AC47=2)),IF(Procedura!$B$10="Lavori",OR(AC47=3,AC47=13),AC47=5)),ABS(E47-IF(IF(Procedura!$B$10="Lavori",OR(AC47=3,AC47=13),AC47=5),1,IF(Procedura!$B$29="No",1,IF(C47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FISSO",IF(AND(A47="",B47=""),"",IF(OR(A47="",B47="",C47=""),"COMPLETARE VOCE PERSONA RUOLO",IF(COUNTIFS($AA$6:$AA$105,AA47)&gt;1,"PERSONA RIPETUTA NELLA VOCE",IF(INDEX(Voci!$F$6:$F$24,MATCH(A47,Voci!$A$6:$A$24,0))&lt;&gt;"Interna","VOCE NON INTERNA",IF(OR(AND(C47="RUP",B47&lt;&gt;Procedura!$B$28),AND(C47="Responsabile fase",OR(Procedura!$B$29&lt;&gt;"Si",B47&lt;&gt;Procedura!$B$30)),AND(OR(OR(AND(Procedura!$B$10="Lavori",AC47=10),AND(Procedura!$B$10&lt;&gt;"Lavori",AC47=2)),IF(Procedura!$B$10="Lavori",OR(AC47=3,AC47=13),AC47=5)),NOT(OR(C47="RUP",AND(OR(AND(Procedura!$B$10="Lavori",AC47=10),AND(Procedura!$B$10&lt;&gt;"Lavori",AC47=2)),C47="Responsabile fase",Procedura!$B$29="Si")))),AND(IF(Procedura!$B$10="Lavori",OR(AC47=4,AC47=11,AC47=14),OR(AC47=3,AC47=6)),NOT(OR(C47="Supporto",C47="Altro",C47="Responsabile fase")))),"RUOLO NON COERENTE",IF(AND(IF(Procedura!$B$10="Lavori",OR(AC47=4,AC47=11,AC47=14),OR(AC47=3,AC47=6)),B47=Procedura!$B$28),"RUP E COLLABORAZIONE INCOMPATIBILI",IF(AND(AG47&gt;0,AG47&lt;&gt;AF47),"PESI MANUALI SOLO SU ALCUNE RIGHE",IF(AND(J47&gt;0,NOT(AND(Procedura!$B$10="Lavori",OR(AC47=5,AC47=6)))),"RITARDO PROGETTAZIONE NON PERTINENTE",IF(AND(M47&gt;0,M47&lt;5%),"CARENZE INFERIORI AL 5%",IF(AND(OR(J47&gt;0,K47&gt;0,L47&gt;0,M47&gt;0,I47="Si"),N47=""),"MOTIVARE ESCLUSIONE O RIDUZIONE",IF(AND(G47&gt;0,H47="Da verificare"),"ATTESTAZIONE DA ACQUISIRE",IF(AND(G47&gt;0,H47="Si",N47=""),"INDICARE ATTI ATTIVITA","COERENTE"))))))))))))))</f>
        <v/>
      </c>
      <c r="AA47" s="2" t="str">
        <f t="shared" si="24"/>
        <v/>
      </c>
      <c r="AB47" s="2" t="str">
        <f>IF(A47="","",INDEX(Voci!$C$6:$C$24,MATCH(A47,Voci!$A$6:$A$24,0)))</f>
        <v/>
      </c>
      <c r="AC47" s="2">
        <f>IF(A47="",0,INDEX(Voci!$B$6:$B$24,MATCH(A47,Voci!$A$6:$A$24,0)))</f>
        <v>0</v>
      </c>
      <c r="AD47" s="2">
        <f t="shared" si="25"/>
        <v>0</v>
      </c>
      <c r="AE47" s="2">
        <f t="shared" si="26"/>
        <v>0</v>
      </c>
      <c r="AF47" s="2">
        <f t="shared" si="27"/>
        <v>0</v>
      </c>
      <c r="AG47" s="2">
        <f t="shared" si="28"/>
        <v>0</v>
      </c>
      <c r="AH47">
        <f t="shared" si="29"/>
        <v>0</v>
      </c>
    </row>
    <row r="48" spans="1:34" ht="24" customHeight="1">
      <c r="A48" s="5"/>
      <c r="B48" s="5"/>
      <c r="C48" s="5"/>
      <c r="D48" s="8"/>
      <c r="E48" s="10">
        <f>IF(OR(A48="",B48=""),0,IF(ISNUMBER(D48),D48,IF(OR(AND(Procedura!$B$10="Lavori",AC48=10),AND(Procedura!$B$10&lt;&gt;"Lavori",AC48=2)),IF(Procedura!$B$29="Si",IF(C48="RUP",IF(Procedura!$B$10="Lavori",20%,IF(Voci!$M$7&gt;0,(Voci!$J$7*(1-Procedura!$B$39)+(Voci!$J$7*Procedura!$B$39-Voci!$L$7)*20%)/Voci!$M$7,0)),IF(C48="Responsabile fase",IF(Procedura!$B$10="Lavori",80%,IF(Voci!$M$7&gt;0,(Voci!$J$7*Procedura!$B$39-Voci!$L$7)*80%/Voci!$M$7,0)),0)),IF(C48="RUP",1,0)),IF(IF(Procedura!$B$10="Lavori",OR(AC48=3,AC48=13),AC48=5),IF(C48="RUP",1,0),IF(IF(Procedura!$B$10="Lavori",OR(AC48=4,AC48=11,AC48=14),OR(AC48=3,AC48=6)),IF(AND(AD48&gt;0,AE48&gt;0),IF(OR(C48="Supporto",C48="Responsabile fase"),60%/AD48,IF(C48="Altro",40%/AE48,0)),IF(AF48&gt;0,1/AF48,0)),IF(AF48&gt;0,1/AF48,0))))))</f>
        <v>0</v>
      </c>
      <c r="F48" s="11">
        <f>IF(A48="",0,INDEX(Voci!$M$6:$M$24,MATCH(A48,Voci!$A$6:$A$24,0))*E48)</f>
        <v>0</v>
      </c>
      <c r="G48" s="11">
        <f>IF(A48="",0,INDEX(Voci!$O$6:$O$24,MATCH(A48,Voci!$A$6:$A$24,0))*E48)</f>
        <v>0</v>
      </c>
      <c r="H48" s="5" t="s">
        <v>60</v>
      </c>
      <c r="I48" s="5" t="s">
        <v>67</v>
      </c>
      <c r="J48" s="8">
        <v>0</v>
      </c>
      <c r="K48" s="8">
        <v>0</v>
      </c>
      <c r="L48" s="8">
        <v>0</v>
      </c>
      <c r="M48" s="8">
        <v>0</v>
      </c>
      <c r="N48" s="5"/>
      <c r="O48" s="10">
        <f t="shared" si="15"/>
        <v>0</v>
      </c>
      <c r="P48" s="10">
        <f t="shared" si="16"/>
        <v>0</v>
      </c>
      <c r="Q48" s="10">
        <f t="shared" si="17"/>
        <v>0</v>
      </c>
      <c r="R48" s="10">
        <f t="shared" si="18"/>
        <v>0</v>
      </c>
      <c r="S48" s="11">
        <f t="shared" si="19"/>
        <v>0</v>
      </c>
      <c r="T48" s="11">
        <f t="shared" si="20"/>
        <v>0</v>
      </c>
      <c r="U48" s="11">
        <f t="shared" si="21"/>
        <v>0</v>
      </c>
      <c r="V48" s="10">
        <f>IF(B48="",0,INDEX(Personale!$F$6:$F$25,MATCH(B48,Personale!$A$6:$A$25,0)))</f>
        <v>0</v>
      </c>
      <c r="W48" s="11">
        <f t="shared" si="22"/>
        <v>0</v>
      </c>
      <c r="X48" s="11">
        <f t="shared" si="23"/>
        <v>0</v>
      </c>
      <c r="Y48" s="11">
        <f>IF(B48="",0,W48*INDEX(Personale!$G$6:$G$25,MATCH(B48,Personale!$A$6:$A$25,0)))</f>
        <v>0</v>
      </c>
      <c r="Z48" s="2" t="str">
        <f>IF(AND(A48&lt;&gt;"",Procedura!$B$10&lt;&gt;"Lavori",AC48=7,B48=Procedura!$B$28),"DEC DEVE ESSERE DIVERSO DAL RUP",IF(AND(ISNUMBER(D48),OR(OR(AND(Procedura!$B$10="Lavori",AC48=10),AND(Procedura!$B$10&lt;&gt;"Lavori",AC48=2)),IF(Procedura!$B$10="Lavori",OR(AC48=3,AC48=13),AC48=5)),ABS(E48-IF(IF(Procedura!$B$10="Lavori",OR(AC48=3,AC48=13),AC48=5),1,IF(Procedura!$B$29="No",1,IF(C48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FISSO",IF(AND(A48="",B48=""),"",IF(OR(A48="",B48="",C48=""),"COMPLETARE VOCE PERSONA RUOLO",IF(COUNTIFS($AA$6:$AA$105,AA48)&gt;1,"PERSONA RIPETUTA NELLA VOCE",IF(INDEX(Voci!$F$6:$F$24,MATCH(A48,Voci!$A$6:$A$24,0))&lt;&gt;"Interna","VOCE NON INTERNA",IF(OR(AND(C48="RUP",B48&lt;&gt;Procedura!$B$28),AND(C48="Responsabile fase",OR(Procedura!$B$29&lt;&gt;"Si",B48&lt;&gt;Procedura!$B$30)),AND(OR(OR(AND(Procedura!$B$10="Lavori",AC48=10),AND(Procedura!$B$10&lt;&gt;"Lavori",AC48=2)),IF(Procedura!$B$10="Lavori",OR(AC48=3,AC48=13),AC48=5)),NOT(OR(C48="RUP",AND(OR(AND(Procedura!$B$10="Lavori",AC48=10),AND(Procedura!$B$10&lt;&gt;"Lavori",AC48=2)),C48="Responsabile fase",Procedura!$B$29="Si")))),AND(IF(Procedura!$B$10="Lavori",OR(AC48=4,AC48=11,AC48=14),OR(AC48=3,AC48=6)),NOT(OR(C48="Supporto",C48="Altro",C48="Responsabile fase")))),"RUOLO NON COERENTE",IF(AND(IF(Procedura!$B$10="Lavori",OR(AC48=4,AC48=11,AC48=14),OR(AC48=3,AC48=6)),B48=Procedura!$B$28),"RUP E COLLABORAZIONE INCOMPATIBILI",IF(AND(AG48&gt;0,AG48&lt;&gt;AF48),"PESI MANUALI SOLO SU ALCUNE RIGHE",IF(AND(J48&gt;0,NOT(AND(Procedura!$B$10="Lavori",OR(AC48=5,AC48=6)))),"RITARDO PROGETTAZIONE NON PERTINENTE",IF(AND(M48&gt;0,M48&lt;5%),"CARENZE INFERIORI AL 5%",IF(AND(OR(J48&gt;0,K48&gt;0,L48&gt;0,M48&gt;0,I48="Si"),N48=""),"MOTIVARE ESCLUSIONE O RIDUZIONE",IF(AND(G48&gt;0,H48="Da verificare"),"ATTESTAZIONE DA ACQUISIRE",IF(AND(G48&gt;0,H48="Si",N48=""),"INDICARE ATTI ATTIVITA","COERENTE"))))))))))))))</f>
        <v/>
      </c>
      <c r="AA48" s="2" t="str">
        <f t="shared" si="24"/>
        <v/>
      </c>
      <c r="AB48" s="2" t="str">
        <f>IF(A48="","",INDEX(Voci!$C$6:$C$24,MATCH(A48,Voci!$A$6:$A$24,0)))</f>
        <v/>
      </c>
      <c r="AC48" s="2">
        <f>IF(A48="",0,INDEX(Voci!$B$6:$B$24,MATCH(A48,Voci!$A$6:$A$24,0)))</f>
        <v>0</v>
      </c>
      <c r="AD48" s="2">
        <f t="shared" si="25"/>
        <v>0</v>
      </c>
      <c r="AE48" s="2">
        <f t="shared" si="26"/>
        <v>0</v>
      </c>
      <c r="AF48" s="2">
        <f t="shared" si="27"/>
        <v>0</v>
      </c>
      <c r="AG48" s="2">
        <f t="shared" si="28"/>
        <v>0</v>
      </c>
      <c r="AH48">
        <f t="shared" si="29"/>
        <v>0</v>
      </c>
    </row>
    <row r="49" spans="1:34" ht="24" customHeight="1">
      <c r="A49" s="5"/>
      <c r="B49" s="5"/>
      <c r="C49" s="5"/>
      <c r="D49" s="8"/>
      <c r="E49" s="10">
        <f>IF(OR(A49="",B49=""),0,IF(ISNUMBER(D49),D49,IF(OR(AND(Procedura!$B$10="Lavori",AC49=10),AND(Procedura!$B$10&lt;&gt;"Lavori",AC49=2)),IF(Procedura!$B$29="Si",IF(C49="RUP",IF(Procedura!$B$10="Lavori",20%,IF(Voci!$M$7&gt;0,(Voci!$J$7*(1-Procedura!$B$39)+(Voci!$J$7*Procedura!$B$39-Voci!$L$7)*20%)/Voci!$M$7,0)),IF(C49="Responsabile fase",IF(Procedura!$B$10="Lavori",80%,IF(Voci!$M$7&gt;0,(Voci!$J$7*Procedura!$B$39-Voci!$L$7)*80%/Voci!$M$7,0)),0)),IF(C49="RUP",1,0)),IF(IF(Procedura!$B$10="Lavori",OR(AC49=3,AC49=13),AC49=5),IF(C49="RUP",1,0),IF(IF(Procedura!$B$10="Lavori",OR(AC49=4,AC49=11,AC49=14),OR(AC49=3,AC49=6)),IF(AND(AD49&gt;0,AE49&gt;0),IF(OR(C49="Supporto",C49="Responsabile fase"),60%/AD49,IF(C49="Altro",40%/AE49,0)),IF(AF49&gt;0,1/AF49,0)),IF(AF49&gt;0,1/AF49,0))))))</f>
        <v>0</v>
      </c>
      <c r="F49" s="11">
        <f>IF(A49="",0,INDEX(Voci!$M$6:$M$24,MATCH(A49,Voci!$A$6:$A$24,0))*E49)</f>
        <v>0</v>
      </c>
      <c r="G49" s="11">
        <f>IF(A49="",0,INDEX(Voci!$O$6:$O$24,MATCH(A49,Voci!$A$6:$A$24,0))*E49)</f>
        <v>0</v>
      </c>
      <c r="H49" s="5" t="s">
        <v>60</v>
      </c>
      <c r="I49" s="5" t="s">
        <v>67</v>
      </c>
      <c r="J49" s="8">
        <v>0</v>
      </c>
      <c r="K49" s="8">
        <v>0</v>
      </c>
      <c r="L49" s="8">
        <v>0</v>
      </c>
      <c r="M49" s="8">
        <v>0</v>
      </c>
      <c r="N49" s="5"/>
      <c r="O49" s="10">
        <f t="shared" si="15"/>
        <v>0</v>
      </c>
      <c r="P49" s="10">
        <f t="shared" si="16"/>
        <v>0</v>
      </c>
      <c r="Q49" s="10">
        <f t="shared" si="17"/>
        <v>0</v>
      </c>
      <c r="R49" s="10">
        <f t="shared" si="18"/>
        <v>0</v>
      </c>
      <c r="S49" s="11">
        <f t="shared" si="19"/>
        <v>0</v>
      </c>
      <c r="T49" s="11">
        <f t="shared" si="20"/>
        <v>0</v>
      </c>
      <c r="U49" s="11">
        <f t="shared" si="21"/>
        <v>0</v>
      </c>
      <c r="V49" s="10">
        <f>IF(B49="",0,INDEX(Personale!$F$6:$F$25,MATCH(B49,Personale!$A$6:$A$25,0)))</f>
        <v>0</v>
      </c>
      <c r="W49" s="11">
        <f t="shared" si="22"/>
        <v>0</v>
      </c>
      <c r="X49" s="11">
        <f t="shared" si="23"/>
        <v>0</v>
      </c>
      <c r="Y49" s="11">
        <f>IF(B49="",0,W49*INDEX(Personale!$G$6:$G$25,MATCH(B49,Personale!$A$6:$A$25,0)))</f>
        <v>0</v>
      </c>
      <c r="Z49" s="2" t="str">
        <f>IF(AND(A49&lt;&gt;"",Procedura!$B$10&lt;&gt;"Lavori",AC49=7,B49=Procedura!$B$28),"DEC DEVE ESSERE DIVERSO DAL RUP",IF(AND(ISNUMBER(D49),OR(OR(AND(Procedura!$B$10="Lavori",AC49=10),AND(Procedura!$B$10&lt;&gt;"Lavori",AC49=2)),IF(Procedura!$B$10="Lavori",OR(AC49=3,AC49=13),AC49=5)),ABS(E49-IF(IF(Procedura!$B$10="Lavori",OR(AC49=3,AC49=13),AC49=5),1,IF(Procedura!$B$29="No",1,IF(C49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FISSO",IF(AND(A49="",B49=""),"",IF(OR(A49="",B49="",C49=""),"COMPLETARE VOCE PERSONA RUOLO",IF(COUNTIFS($AA$6:$AA$105,AA49)&gt;1,"PERSONA RIPETUTA NELLA VOCE",IF(INDEX(Voci!$F$6:$F$24,MATCH(A49,Voci!$A$6:$A$24,0))&lt;&gt;"Interna","VOCE NON INTERNA",IF(OR(AND(C49="RUP",B49&lt;&gt;Procedura!$B$28),AND(C49="Responsabile fase",OR(Procedura!$B$29&lt;&gt;"Si",B49&lt;&gt;Procedura!$B$30)),AND(OR(OR(AND(Procedura!$B$10="Lavori",AC49=10),AND(Procedura!$B$10&lt;&gt;"Lavori",AC49=2)),IF(Procedura!$B$10="Lavori",OR(AC49=3,AC49=13),AC49=5)),NOT(OR(C49="RUP",AND(OR(AND(Procedura!$B$10="Lavori",AC49=10),AND(Procedura!$B$10&lt;&gt;"Lavori",AC49=2)),C49="Responsabile fase",Procedura!$B$29="Si")))),AND(IF(Procedura!$B$10="Lavori",OR(AC49=4,AC49=11,AC49=14),OR(AC49=3,AC49=6)),NOT(OR(C49="Supporto",C49="Altro",C49="Responsabile fase")))),"RUOLO NON COERENTE",IF(AND(IF(Procedura!$B$10="Lavori",OR(AC49=4,AC49=11,AC49=14),OR(AC49=3,AC49=6)),B49=Procedura!$B$28),"RUP E COLLABORAZIONE INCOMPATIBILI",IF(AND(AG49&gt;0,AG49&lt;&gt;AF49),"PESI MANUALI SOLO SU ALCUNE RIGHE",IF(AND(J49&gt;0,NOT(AND(Procedura!$B$10="Lavori",OR(AC49=5,AC49=6)))),"RITARDO PROGETTAZIONE NON PERTINENTE",IF(AND(M49&gt;0,M49&lt;5%),"CARENZE INFERIORI AL 5%",IF(AND(OR(J49&gt;0,K49&gt;0,L49&gt;0,M49&gt;0,I49="Si"),N49=""),"MOTIVARE ESCLUSIONE O RIDUZIONE",IF(AND(G49&gt;0,H49="Da verificare"),"ATTESTAZIONE DA ACQUISIRE",IF(AND(G49&gt;0,H49="Si",N49=""),"INDICARE ATTI ATTIVITA","COERENTE"))))))))))))))</f>
        <v/>
      </c>
      <c r="AA49" s="2" t="str">
        <f t="shared" si="24"/>
        <v/>
      </c>
      <c r="AB49" s="2" t="str">
        <f>IF(A49="","",INDEX(Voci!$C$6:$C$24,MATCH(A49,Voci!$A$6:$A$24,0)))</f>
        <v/>
      </c>
      <c r="AC49" s="2">
        <f>IF(A49="",0,INDEX(Voci!$B$6:$B$24,MATCH(A49,Voci!$A$6:$A$24,0)))</f>
        <v>0</v>
      </c>
      <c r="AD49" s="2">
        <f t="shared" si="25"/>
        <v>0</v>
      </c>
      <c r="AE49" s="2">
        <f t="shared" si="26"/>
        <v>0</v>
      </c>
      <c r="AF49" s="2">
        <f t="shared" si="27"/>
        <v>0</v>
      </c>
      <c r="AG49" s="2">
        <f t="shared" si="28"/>
        <v>0</v>
      </c>
      <c r="AH49">
        <f t="shared" si="29"/>
        <v>0</v>
      </c>
    </row>
    <row r="50" spans="1:34" ht="24" customHeight="1">
      <c r="A50" s="5"/>
      <c r="B50" s="5"/>
      <c r="C50" s="5"/>
      <c r="D50" s="8"/>
      <c r="E50" s="10">
        <f>IF(OR(A50="",B50=""),0,IF(ISNUMBER(D50),D50,IF(OR(AND(Procedura!$B$10="Lavori",AC50=10),AND(Procedura!$B$10&lt;&gt;"Lavori",AC50=2)),IF(Procedura!$B$29="Si",IF(C50="RUP",IF(Procedura!$B$10="Lavori",20%,IF(Voci!$M$7&gt;0,(Voci!$J$7*(1-Procedura!$B$39)+(Voci!$J$7*Procedura!$B$39-Voci!$L$7)*20%)/Voci!$M$7,0)),IF(C50="Responsabile fase",IF(Procedura!$B$10="Lavori",80%,IF(Voci!$M$7&gt;0,(Voci!$J$7*Procedura!$B$39-Voci!$L$7)*80%/Voci!$M$7,0)),0)),IF(C50="RUP",1,0)),IF(IF(Procedura!$B$10="Lavori",OR(AC50=3,AC50=13),AC50=5),IF(C50="RUP",1,0),IF(IF(Procedura!$B$10="Lavori",OR(AC50=4,AC50=11,AC50=14),OR(AC50=3,AC50=6)),IF(AND(AD50&gt;0,AE50&gt;0),IF(OR(C50="Supporto",C50="Responsabile fase"),60%/AD50,IF(C50="Altro",40%/AE50,0)),IF(AF50&gt;0,1/AF50,0)),IF(AF50&gt;0,1/AF50,0))))))</f>
        <v>0</v>
      </c>
      <c r="F50" s="11">
        <f>IF(A50="",0,INDEX(Voci!$M$6:$M$24,MATCH(A50,Voci!$A$6:$A$24,0))*E50)</f>
        <v>0</v>
      </c>
      <c r="G50" s="11">
        <f>IF(A50="",0,INDEX(Voci!$O$6:$O$24,MATCH(A50,Voci!$A$6:$A$24,0))*E50)</f>
        <v>0</v>
      </c>
      <c r="H50" s="5" t="s">
        <v>60</v>
      </c>
      <c r="I50" s="5" t="s">
        <v>67</v>
      </c>
      <c r="J50" s="8">
        <v>0</v>
      </c>
      <c r="K50" s="8">
        <v>0</v>
      </c>
      <c r="L50" s="8">
        <v>0</v>
      </c>
      <c r="M50" s="8">
        <v>0</v>
      </c>
      <c r="N50" s="5"/>
      <c r="O50" s="10">
        <f t="shared" si="15"/>
        <v>0</v>
      </c>
      <c r="P50" s="10">
        <f t="shared" si="16"/>
        <v>0</v>
      </c>
      <c r="Q50" s="10">
        <f t="shared" si="17"/>
        <v>0</v>
      </c>
      <c r="R50" s="10">
        <f t="shared" si="18"/>
        <v>0</v>
      </c>
      <c r="S50" s="11">
        <f t="shared" si="19"/>
        <v>0</v>
      </c>
      <c r="T50" s="11">
        <f t="shared" si="20"/>
        <v>0</v>
      </c>
      <c r="U50" s="11">
        <f t="shared" si="21"/>
        <v>0</v>
      </c>
      <c r="V50" s="10">
        <f>IF(B50="",0,INDEX(Personale!$F$6:$F$25,MATCH(B50,Personale!$A$6:$A$25,0)))</f>
        <v>0</v>
      </c>
      <c r="W50" s="11">
        <f t="shared" si="22"/>
        <v>0</v>
      </c>
      <c r="X50" s="11">
        <f t="shared" si="23"/>
        <v>0</v>
      </c>
      <c r="Y50" s="11">
        <f>IF(B50="",0,W50*INDEX(Personale!$G$6:$G$25,MATCH(B50,Personale!$A$6:$A$25,0)))</f>
        <v>0</v>
      </c>
      <c r="Z50" s="2" t="str">
        <f>IF(AND(A50&lt;&gt;"",Procedura!$B$10&lt;&gt;"Lavori",AC50=7,B50=Procedura!$B$28),"DEC DEVE ESSERE DIVERSO DAL RUP",IF(AND(ISNUMBER(D50),OR(OR(AND(Procedura!$B$10="Lavori",AC50=10),AND(Procedura!$B$10&lt;&gt;"Lavori",AC50=2)),IF(Procedura!$B$10="Lavori",OR(AC50=3,AC50=13),AC50=5)),ABS(E50-IF(IF(Procedura!$B$10="Lavori",OR(AC50=3,AC50=13),AC50=5),1,IF(Procedura!$B$29="No",1,IF(C50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FISSO",IF(AND(A50="",B50=""),"",IF(OR(A50="",B50="",C50=""),"COMPLETARE VOCE PERSONA RUOLO",IF(COUNTIFS($AA$6:$AA$105,AA50)&gt;1,"PERSONA RIPETUTA NELLA VOCE",IF(INDEX(Voci!$F$6:$F$24,MATCH(A50,Voci!$A$6:$A$24,0))&lt;&gt;"Interna","VOCE NON INTERNA",IF(OR(AND(C50="RUP",B50&lt;&gt;Procedura!$B$28),AND(C50="Responsabile fase",OR(Procedura!$B$29&lt;&gt;"Si",B50&lt;&gt;Procedura!$B$30)),AND(OR(OR(AND(Procedura!$B$10="Lavori",AC50=10),AND(Procedura!$B$10&lt;&gt;"Lavori",AC50=2)),IF(Procedura!$B$10="Lavori",OR(AC50=3,AC50=13),AC50=5)),NOT(OR(C50="RUP",AND(OR(AND(Procedura!$B$10="Lavori",AC50=10),AND(Procedura!$B$10&lt;&gt;"Lavori",AC50=2)),C50="Responsabile fase",Procedura!$B$29="Si")))),AND(IF(Procedura!$B$10="Lavori",OR(AC50=4,AC50=11,AC50=14),OR(AC50=3,AC50=6)),NOT(OR(C50="Supporto",C50="Altro",C50="Responsabile fase")))),"RUOLO NON COERENTE",IF(AND(IF(Procedura!$B$10="Lavori",OR(AC50=4,AC50=11,AC50=14),OR(AC50=3,AC50=6)),B50=Procedura!$B$28),"RUP E COLLABORAZIONE INCOMPATIBILI",IF(AND(AG50&gt;0,AG50&lt;&gt;AF50),"PESI MANUALI SOLO SU ALCUNE RIGHE",IF(AND(J50&gt;0,NOT(AND(Procedura!$B$10="Lavori",OR(AC50=5,AC50=6)))),"RITARDO PROGETTAZIONE NON PERTINENTE",IF(AND(M50&gt;0,M50&lt;5%),"CARENZE INFERIORI AL 5%",IF(AND(OR(J50&gt;0,K50&gt;0,L50&gt;0,M50&gt;0,I50="Si"),N50=""),"MOTIVARE ESCLUSIONE O RIDUZIONE",IF(AND(G50&gt;0,H50="Da verificare"),"ATTESTAZIONE DA ACQUISIRE",IF(AND(G50&gt;0,H50="Si",N50=""),"INDICARE ATTI ATTIVITA","COERENTE"))))))))))))))</f>
        <v/>
      </c>
      <c r="AA50" s="2" t="str">
        <f t="shared" si="24"/>
        <v/>
      </c>
      <c r="AB50" s="2" t="str">
        <f>IF(A50="","",INDEX(Voci!$C$6:$C$24,MATCH(A50,Voci!$A$6:$A$24,0)))</f>
        <v/>
      </c>
      <c r="AC50" s="2">
        <f>IF(A50="",0,INDEX(Voci!$B$6:$B$24,MATCH(A50,Voci!$A$6:$A$24,0)))</f>
        <v>0</v>
      </c>
      <c r="AD50" s="2">
        <f t="shared" si="25"/>
        <v>0</v>
      </c>
      <c r="AE50" s="2">
        <f t="shared" si="26"/>
        <v>0</v>
      </c>
      <c r="AF50" s="2">
        <f t="shared" si="27"/>
        <v>0</v>
      </c>
      <c r="AG50" s="2">
        <f t="shared" si="28"/>
        <v>0</v>
      </c>
      <c r="AH50">
        <f t="shared" si="29"/>
        <v>0</v>
      </c>
    </row>
    <row r="51" spans="1:34" ht="24" customHeight="1">
      <c r="A51" s="5"/>
      <c r="B51" s="5"/>
      <c r="C51" s="5"/>
      <c r="D51" s="8"/>
      <c r="E51" s="10">
        <f>IF(OR(A51="",B51=""),0,IF(ISNUMBER(D51),D51,IF(OR(AND(Procedura!$B$10="Lavori",AC51=10),AND(Procedura!$B$10&lt;&gt;"Lavori",AC51=2)),IF(Procedura!$B$29="Si",IF(C51="RUP",IF(Procedura!$B$10="Lavori",20%,IF(Voci!$M$7&gt;0,(Voci!$J$7*(1-Procedura!$B$39)+(Voci!$J$7*Procedura!$B$39-Voci!$L$7)*20%)/Voci!$M$7,0)),IF(C51="Responsabile fase",IF(Procedura!$B$10="Lavori",80%,IF(Voci!$M$7&gt;0,(Voci!$J$7*Procedura!$B$39-Voci!$L$7)*80%/Voci!$M$7,0)),0)),IF(C51="RUP",1,0)),IF(IF(Procedura!$B$10="Lavori",OR(AC51=3,AC51=13),AC51=5),IF(C51="RUP",1,0),IF(IF(Procedura!$B$10="Lavori",OR(AC51=4,AC51=11,AC51=14),OR(AC51=3,AC51=6)),IF(AND(AD51&gt;0,AE51&gt;0),IF(OR(C51="Supporto",C51="Responsabile fase"),60%/AD51,IF(C51="Altro",40%/AE51,0)),IF(AF51&gt;0,1/AF51,0)),IF(AF51&gt;0,1/AF51,0))))))</f>
        <v>0</v>
      </c>
      <c r="F51" s="11">
        <f>IF(A51="",0,INDEX(Voci!$M$6:$M$24,MATCH(A51,Voci!$A$6:$A$24,0))*E51)</f>
        <v>0</v>
      </c>
      <c r="G51" s="11">
        <f>IF(A51="",0,INDEX(Voci!$O$6:$O$24,MATCH(A51,Voci!$A$6:$A$24,0))*E51)</f>
        <v>0</v>
      </c>
      <c r="H51" s="5" t="s">
        <v>60</v>
      </c>
      <c r="I51" s="5" t="s">
        <v>67</v>
      </c>
      <c r="J51" s="8">
        <v>0</v>
      </c>
      <c r="K51" s="8">
        <v>0</v>
      </c>
      <c r="L51" s="8">
        <v>0</v>
      </c>
      <c r="M51" s="8">
        <v>0</v>
      </c>
      <c r="N51" s="5"/>
      <c r="O51" s="10">
        <f t="shared" si="15"/>
        <v>0</v>
      </c>
      <c r="P51" s="10">
        <f t="shared" si="16"/>
        <v>0</v>
      </c>
      <c r="Q51" s="10">
        <f t="shared" si="17"/>
        <v>0</v>
      </c>
      <c r="R51" s="10">
        <f t="shared" si="18"/>
        <v>0</v>
      </c>
      <c r="S51" s="11">
        <f t="shared" si="19"/>
        <v>0</v>
      </c>
      <c r="T51" s="11">
        <f t="shared" si="20"/>
        <v>0</v>
      </c>
      <c r="U51" s="11">
        <f t="shared" si="21"/>
        <v>0</v>
      </c>
      <c r="V51" s="10">
        <f>IF(B51="",0,INDEX(Personale!$F$6:$F$25,MATCH(B51,Personale!$A$6:$A$25,0)))</f>
        <v>0</v>
      </c>
      <c r="W51" s="11">
        <f t="shared" si="22"/>
        <v>0</v>
      </c>
      <c r="X51" s="11">
        <f t="shared" si="23"/>
        <v>0</v>
      </c>
      <c r="Y51" s="11">
        <f>IF(B51="",0,W51*INDEX(Personale!$G$6:$G$25,MATCH(B51,Personale!$A$6:$A$25,0)))</f>
        <v>0</v>
      </c>
      <c r="Z51" s="2" t="str">
        <f>IF(AND(A51&lt;&gt;"",Procedura!$B$10&lt;&gt;"Lavori",AC51=7,B51=Procedura!$B$28),"DEC DEVE ESSERE DIVERSO DAL RUP",IF(AND(ISNUMBER(D51),OR(OR(AND(Procedura!$B$10="Lavori",AC51=10),AND(Procedura!$B$10&lt;&gt;"Lavori",AC51=2)),IF(Procedura!$B$10="Lavori",OR(AC51=3,AC51=13),AC51=5)),ABS(E51-IF(IF(Procedura!$B$10="Lavori",OR(AC51=3,AC51=13),AC51=5),1,IF(Procedura!$B$29="No",1,IF(C51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FISSO",IF(AND(A51="",B51=""),"",IF(OR(A51="",B51="",C51=""),"COMPLETARE VOCE PERSONA RUOLO",IF(COUNTIFS($AA$6:$AA$105,AA51)&gt;1,"PERSONA RIPETUTA NELLA VOCE",IF(INDEX(Voci!$F$6:$F$24,MATCH(A51,Voci!$A$6:$A$24,0))&lt;&gt;"Interna","VOCE NON INTERNA",IF(OR(AND(C51="RUP",B51&lt;&gt;Procedura!$B$28),AND(C51="Responsabile fase",OR(Procedura!$B$29&lt;&gt;"Si",B51&lt;&gt;Procedura!$B$30)),AND(OR(OR(AND(Procedura!$B$10="Lavori",AC51=10),AND(Procedura!$B$10&lt;&gt;"Lavori",AC51=2)),IF(Procedura!$B$10="Lavori",OR(AC51=3,AC51=13),AC51=5)),NOT(OR(C51="RUP",AND(OR(AND(Procedura!$B$10="Lavori",AC51=10),AND(Procedura!$B$10&lt;&gt;"Lavori",AC51=2)),C51="Responsabile fase",Procedura!$B$29="Si")))),AND(IF(Procedura!$B$10="Lavori",OR(AC51=4,AC51=11,AC51=14),OR(AC51=3,AC51=6)),NOT(OR(C51="Supporto",C51="Altro",C51="Responsabile fase")))),"RUOLO NON COERENTE",IF(AND(IF(Procedura!$B$10="Lavori",OR(AC51=4,AC51=11,AC51=14),OR(AC51=3,AC51=6)),B51=Procedura!$B$28),"RUP E COLLABORAZIONE INCOMPATIBILI",IF(AND(AG51&gt;0,AG51&lt;&gt;AF51),"PESI MANUALI SOLO SU ALCUNE RIGHE",IF(AND(J51&gt;0,NOT(AND(Procedura!$B$10="Lavori",OR(AC51=5,AC51=6)))),"RITARDO PROGETTAZIONE NON PERTINENTE",IF(AND(M51&gt;0,M51&lt;5%),"CARENZE INFERIORI AL 5%",IF(AND(OR(J51&gt;0,K51&gt;0,L51&gt;0,M51&gt;0,I51="Si"),N51=""),"MOTIVARE ESCLUSIONE O RIDUZIONE",IF(AND(G51&gt;0,H51="Da verificare"),"ATTESTAZIONE DA ACQUISIRE",IF(AND(G51&gt;0,H51="Si",N51=""),"INDICARE ATTI ATTIVITA","COERENTE"))))))))))))))</f>
        <v/>
      </c>
      <c r="AA51" s="2" t="str">
        <f t="shared" si="24"/>
        <v/>
      </c>
      <c r="AB51" s="2" t="str">
        <f>IF(A51="","",INDEX(Voci!$C$6:$C$24,MATCH(A51,Voci!$A$6:$A$24,0)))</f>
        <v/>
      </c>
      <c r="AC51" s="2">
        <f>IF(A51="",0,INDEX(Voci!$B$6:$B$24,MATCH(A51,Voci!$A$6:$A$24,0)))</f>
        <v>0</v>
      </c>
      <c r="AD51" s="2">
        <f t="shared" si="25"/>
        <v>0</v>
      </c>
      <c r="AE51" s="2">
        <f t="shared" si="26"/>
        <v>0</v>
      </c>
      <c r="AF51" s="2">
        <f t="shared" si="27"/>
        <v>0</v>
      </c>
      <c r="AG51" s="2">
        <f t="shared" si="28"/>
        <v>0</v>
      </c>
      <c r="AH51">
        <f t="shared" si="29"/>
        <v>0</v>
      </c>
    </row>
    <row r="52" spans="1:34" ht="24" customHeight="1">
      <c r="A52" s="5"/>
      <c r="B52" s="5"/>
      <c r="C52" s="5"/>
      <c r="D52" s="8"/>
      <c r="E52" s="10">
        <f>IF(OR(A52="",B52=""),0,IF(ISNUMBER(D52),D52,IF(OR(AND(Procedura!$B$10="Lavori",AC52=10),AND(Procedura!$B$10&lt;&gt;"Lavori",AC52=2)),IF(Procedura!$B$29="Si",IF(C52="RUP",IF(Procedura!$B$10="Lavori",20%,IF(Voci!$M$7&gt;0,(Voci!$J$7*(1-Procedura!$B$39)+(Voci!$J$7*Procedura!$B$39-Voci!$L$7)*20%)/Voci!$M$7,0)),IF(C52="Responsabile fase",IF(Procedura!$B$10="Lavori",80%,IF(Voci!$M$7&gt;0,(Voci!$J$7*Procedura!$B$39-Voci!$L$7)*80%/Voci!$M$7,0)),0)),IF(C52="RUP",1,0)),IF(IF(Procedura!$B$10="Lavori",OR(AC52=3,AC52=13),AC52=5),IF(C52="RUP",1,0),IF(IF(Procedura!$B$10="Lavori",OR(AC52=4,AC52=11,AC52=14),OR(AC52=3,AC52=6)),IF(AND(AD52&gt;0,AE52&gt;0),IF(OR(C52="Supporto",C52="Responsabile fase"),60%/AD52,IF(C52="Altro",40%/AE52,0)),IF(AF52&gt;0,1/AF52,0)),IF(AF52&gt;0,1/AF52,0))))))</f>
        <v>0</v>
      </c>
      <c r="F52" s="11">
        <f>IF(A52="",0,INDEX(Voci!$M$6:$M$24,MATCH(A52,Voci!$A$6:$A$24,0))*E52)</f>
        <v>0</v>
      </c>
      <c r="G52" s="11">
        <f>IF(A52="",0,INDEX(Voci!$O$6:$O$24,MATCH(A52,Voci!$A$6:$A$24,0))*E52)</f>
        <v>0</v>
      </c>
      <c r="H52" s="5" t="s">
        <v>60</v>
      </c>
      <c r="I52" s="5" t="s">
        <v>67</v>
      </c>
      <c r="J52" s="8">
        <v>0</v>
      </c>
      <c r="K52" s="8">
        <v>0</v>
      </c>
      <c r="L52" s="8">
        <v>0</v>
      </c>
      <c r="M52" s="8">
        <v>0</v>
      </c>
      <c r="N52" s="5"/>
      <c r="O52" s="10">
        <f t="shared" si="15"/>
        <v>0</v>
      </c>
      <c r="P52" s="10">
        <f t="shared" si="16"/>
        <v>0</v>
      </c>
      <c r="Q52" s="10">
        <f t="shared" si="17"/>
        <v>0</v>
      </c>
      <c r="R52" s="10">
        <f t="shared" si="18"/>
        <v>0</v>
      </c>
      <c r="S52" s="11">
        <f t="shared" si="19"/>
        <v>0</v>
      </c>
      <c r="T52" s="11">
        <f t="shared" si="20"/>
        <v>0</v>
      </c>
      <c r="U52" s="11">
        <f t="shared" si="21"/>
        <v>0</v>
      </c>
      <c r="V52" s="10">
        <f>IF(B52="",0,INDEX(Personale!$F$6:$F$25,MATCH(B52,Personale!$A$6:$A$25,0)))</f>
        <v>0</v>
      </c>
      <c r="W52" s="11">
        <f t="shared" si="22"/>
        <v>0</v>
      </c>
      <c r="X52" s="11">
        <f t="shared" si="23"/>
        <v>0</v>
      </c>
      <c r="Y52" s="11">
        <f>IF(B52="",0,W52*INDEX(Personale!$G$6:$G$25,MATCH(B52,Personale!$A$6:$A$25,0)))</f>
        <v>0</v>
      </c>
      <c r="Z52" s="2" t="str">
        <f>IF(AND(A52&lt;&gt;"",Procedura!$B$10&lt;&gt;"Lavori",AC52=7,B52=Procedura!$B$28),"DEC DEVE ESSERE DIVERSO DAL RUP",IF(AND(ISNUMBER(D52),OR(OR(AND(Procedura!$B$10="Lavori",AC52=10),AND(Procedura!$B$10&lt;&gt;"Lavori",AC52=2)),IF(Procedura!$B$10="Lavori",OR(AC52=3,AC52=13),AC52=5)),ABS(E52-IF(IF(Procedura!$B$10="Lavori",OR(AC52=3,AC52=13),AC52=5),1,IF(Procedura!$B$29="No",1,IF(C52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FISSO",IF(AND(A52="",B52=""),"",IF(OR(A52="",B52="",C52=""),"COMPLETARE VOCE PERSONA RUOLO",IF(COUNTIFS($AA$6:$AA$105,AA52)&gt;1,"PERSONA RIPETUTA NELLA VOCE",IF(INDEX(Voci!$F$6:$F$24,MATCH(A52,Voci!$A$6:$A$24,0))&lt;&gt;"Interna","VOCE NON INTERNA",IF(OR(AND(C52="RUP",B52&lt;&gt;Procedura!$B$28),AND(C52="Responsabile fase",OR(Procedura!$B$29&lt;&gt;"Si",B52&lt;&gt;Procedura!$B$30)),AND(OR(OR(AND(Procedura!$B$10="Lavori",AC52=10),AND(Procedura!$B$10&lt;&gt;"Lavori",AC52=2)),IF(Procedura!$B$10="Lavori",OR(AC52=3,AC52=13),AC52=5)),NOT(OR(C52="RUP",AND(OR(AND(Procedura!$B$10="Lavori",AC52=10),AND(Procedura!$B$10&lt;&gt;"Lavori",AC52=2)),C52="Responsabile fase",Procedura!$B$29="Si")))),AND(IF(Procedura!$B$10="Lavori",OR(AC52=4,AC52=11,AC52=14),OR(AC52=3,AC52=6)),NOT(OR(C52="Supporto",C52="Altro",C52="Responsabile fase")))),"RUOLO NON COERENTE",IF(AND(IF(Procedura!$B$10="Lavori",OR(AC52=4,AC52=11,AC52=14),OR(AC52=3,AC52=6)),B52=Procedura!$B$28),"RUP E COLLABORAZIONE INCOMPATIBILI",IF(AND(AG52&gt;0,AG52&lt;&gt;AF52),"PESI MANUALI SOLO SU ALCUNE RIGHE",IF(AND(J52&gt;0,NOT(AND(Procedura!$B$10="Lavori",OR(AC52=5,AC52=6)))),"RITARDO PROGETTAZIONE NON PERTINENTE",IF(AND(M52&gt;0,M52&lt;5%),"CARENZE INFERIORI AL 5%",IF(AND(OR(J52&gt;0,K52&gt;0,L52&gt;0,M52&gt;0,I52="Si"),N52=""),"MOTIVARE ESCLUSIONE O RIDUZIONE",IF(AND(G52&gt;0,H52="Da verificare"),"ATTESTAZIONE DA ACQUISIRE",IF(AND(G52&gt;0,H52="Si",N52=""),"INDICARE ATTI ATTIVITA","COERENTE"))))))))))))))</f>
        <v/>
      </c>
      <c r="AA52" s="2" t="str">
        <f t="shared" si="24"/>
        <v/>
      </c>
      <c r="AB52" s="2" t="str">
        <f>IF(A52="","",INDEX(Voci!$C$6:$C$24,MATCH(A52,Voci!$A$6:$A$24,0)))</f>
        <v/>
      </c>
      <c r="AC52" s="2">
        <f>IF(A52="",0,INDEX(Voci!$B$6:$B$24,MATCH(A52,Voci!$A$6:$A$24,0)))</f>
        <v>0</v>
      </c>
      <c r="AD52" s="2">
        <f t="shared" si="25"/>
        <v>0</v>
      </c>
      <c r="AE52" s="2">
        <f t="shared" si="26"/>
        <v>0</v>
      </c>
      <c r="AF52" s="2">
        <f t="shared" si="27"/>
        <v>0</v>
      </c>
      <c r="AG52" s="2">
        <f t="shared" si="28"/>
        <v>0</v>
      </c>
      <c r="AH52">
        <f t="shared" si="29"/>
        <v>0</v>
      </c>
    </row>
    <row r="53" spans="1:34" ht="24" customHeight="1">
      <c r="A53" s="5"/>
      <c r="B53" s="5"/>
      <c r="C53" s="5"/>
      <c r="D53" s="8"/>
      <c r="E53" s="10">
        <f>IF(OR(A53="",B53=""),0,IF(ISNUMBER(D53),D53,IF(OR(AND(Procedura!$B$10="Lavori",AC53=10),AND(Procedura!$B$10&lt;&gt;"Lavori",AC53=2)),IF(Procedura!$B$29="Si",IF(C53="RUP",IF(Procedura!$B$10="Lavori",20%,IF(Voci!$M$7&gt;0,(Voci!$J$7*(1-Procedura!$B$39)+(Voci!$J$7*Procedura!$B$39-Voci!$L$7)*20%)/Voci!$M$7,0)),IF(C53="Responsabile fase",IF(Procedura!$B$10="Lavori",80%,IF(Voci!$M$7&gt;0,(Voci!$J$7*Procedura!$B$39-Voci!$L$7)*80%/Voci!$M$7,0)),0)),IF(C53="RUP",1,0)),IF(IF(Procedura!$B$10="Lavori",OR(AC53=3,AC53=13),AC53=5),IF(C53="RUP",1,0),IF(IF(Procedura!$B$10="Lavori",OR(AC53=4,AC53=11,AC53=14),OR(AC53=3,AC53=6)),IF(AND(AD53&gt;0,AE53&gt;0),IF(OR(C53="Supporto",C53="Responsabile fase"),60%/AD53,IF(C53="Altro",40%/AE53,0)),IF(AF53&gt;0,1/AF53,0)),IF(AF53&gt;0,1/AF53,0))))))</f>
        <v>0</v>
      </c>
      <c r="F53" s="11">
        <f>IF(A53="",0,INDEX(Voci!$M$6:$M$24,MATCH(A53,Voci!$A$6:$A$24,0))*E53)</f>
        <v>0</v>
      </c>
      <c r="G53" s="11">
        <f>IF(A53="",0,INDEX(Voci!$O$6:$O$24,MATCH(A53,Voci!$A$6:$A$24,0))*E53)</f>
        <v>0</v>
      </c>
      <c r="H53" s="5" t="s">
        <v>60</v>
      </c>
      <c r="I53" s="5" t="s">
        <v>67</v>
      </c>
      <c r="J53" s="8">
        <v>0</v>
      </c>
      <c r="K53" s="8">
        <v>0</v>
      </c>
      <c r="L53" s="8">
        <v>0</v>
      </c>
      <c r="M53" s="8">
        <v>0</v>
      </c>
      <c r="N53" s="5"/>
      <c r="O53" s="10">
        <f t="shared" si="15"/>
        <v>0</v>
      </c>
      <c r="P53" s="10">
        <f t="shared" si="16"/>
        <v>0</v>
      </c>
      <c r="Q53" s="10">
        <f t="shared" si="17"/>
        <v>0</v>
      </c>
      <c r="R53" s="10">
        <f t="shared" si="18"/>
        <v>0</v>
      </c>
      <c r="S53" s="11">
        <f t="shared" si="19"/>
        <v>0</v>
      </c>
      <c r="T53" s="11">
        <f t="shared" si="20"/>
        <v>0</v>
      </c>
      <c r="U53" s="11">
        <f t="shared" si="21"/>
        <v>0</v>
      </c>
      <c r="V53" s="10">
        <f>IF(B53="",0,INDEX(Personale!$F$6:$F$25,MATCH(B53,Personale!$A$6:$A$25,0)))</f>
        <v>0</v>
      </c>
      <c r="W53" s="11">
        <f t="shared" si="22"/>
        <v>0</v>
      </c>
      <c r="X53" s="11">
        <f t="shared" si="23"/>
        <v>0</v>
      </c>
      <c r="Y53" s="11">
        <f>IF(B53="",0,W53*INDEX(Personale!$G$6:$G$25,MATCH(B53,Personale!$A$6:$A$25,0)))</f>
        <v>0</v>
      </c>
      <c r="Z53" s="2" t="str">
        <f>IF(AND(A53&lt;&gt;"",Procedura!$B$10&lt;&gt;"Lavori",AC53=7,B53=Procedura!$B$28),"DEC DEVE ESSERE DIVERSO DAL RUP",IF(AND(ISNUMBER(D53),OR(OR(AND(Procedura!$B$10="Lavori",AC53=10),AND(Procedura!$B$10&lt;&gt;"Lavori",AC53=2)),IF(Procedura!$B$10="Lavori",OR(AC53=3,AC53=13),AC53=5)),ABS(E53-IF(IF(Procedura!$B$10="Lavori",OR(AC53=3,AC53=13),AC53=5),1,IF(Procedura!$B$29="No",1,IF(C53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FISSO",IF(AND(A53="",B53=""),"",IF(OR(A53="",B53="",C53=""),"COMPLETARE VOCE PERSONA RUOLO",IF(COUNTIFS($AA$6:$AA$105,AA53)&gt;1,"PERSONA RIPETUTA NELLA VOCE",IF(INDEX(Voci!$F$6:$F$24,MATCH(A53,Voci!$A$6:$A$24,0))&lt;&gt;"Interna","VOCE NON INTERNA",IF(OR(AND(C53="RUP",B53&lt;&gt;Procedura!$B$28),AND(C53="Responsabile fase",OR(Procedura!$B$29&lt;&gt;"Si",B53&lt;&gt;Procedura!$B$30)),AND(OR(OR(AND(Procedura!$B$10="Lavori",AC53=10),AND(Procedura!$B$10&lt;&gt;"Lavori",AC53=2)),IF(Procedura!$B$10="Lavori",OR(AC53=3,AC53=13),AC53=5)),NOT(OR(C53="RUP",AND(OR(AND(Procedura!$B$10="Lavori",AC53=10),AND(Procedura!$B$10&lt;&gt;"Lavori",AC53=2)),C53="Responsabile fase",Procedura!$B$29="Si")))),AND(IF(Procedura!$B$10="Lavori",OR(AC53=4,AC53=11,AC53=14),OR(AC53=3,AC53=6)),NOT(OR(C53="Supporto",C53="Altro",C53="Responsabile fase")))),"RUOLO NON COERENTE",IF(AND(IF(Procedura!$B$10="Lavori",OR(AC53=4,AC53=11,AC53=14),OR(AC53=3,AC53=6)),B53=Procedura!$B$28),"RUP E COLLABORAZIONE INCOMPATIBILI",IF(AND(AG53&gt;0,AG53&lt;&gt;AF53),"PESI MANUALI SOLO SU ALCUNE RIGHE",IF(AND(J53&gt;0,NOT(AND(Procedura!$B$10="Lavori",OR(AC53=5,AC53=6)))),"RITARDO PROGETTAZIONE NON PERTINENTE",IF(AND(M53&gt;0,M53&lt;5%),"CARENZE INFERIORI AL 5%",IF(AND(OR(J53&gt;0,K53&gt;0,L53&gt;0,M53&gt;0,I53="Si"),N53=""),"MOTIVARE ESCLUSIONE O RIDUZIONE",IF(AND(G53&gt;0,H53="Da verificare"),"ATTESTAZIONE DA ACQUISIRE",IF(AND(G53&gt;0,H53="Si",N53=""),"INDICARE ATTI ATTIVITA","COERENTE"))))))))))))))</f>
        <v/>
      </c>
      <c r="AA53" s="2" t="str">
        <f t="shared" si="24"/>
        <v/>
      </c>
      <c r="AB53" s="2" t="str">
        <f>IF(A53="","",INDEX(Voci!$C$6:$C$24,MATCH(A53,Voci!$A$6:$A$24,0)))</f>
        <v/>
      </c>
      <c r="AC53" s="2">
        <f>IF(A53="",0,INDEX(Voci!$B$6:$B$24,MATCH(A53,Voci!$A$6:$A$24,0)))</f>
        <v>0</v>
      </c>
      <c r="AD53" s="2">
        <f t="shared" si="25"/>
        <v>0</v>
      </c>
      <c r="AE53" s="2">
        <f t="shared" si="26"/>
        <v>0</v>
      </c>
      <c r="AF53" s="2">
        <f t="shared" si="27"/>
        <v>0</v>
      </c>
      <c r="AG53" s="2">
        <f t="shared" si="28"/>
        <v>0</v>
      </c>
      <c r="AH53">
        <f t="shared" si="29"/>
        <v>0</v>
      </c>
    </row>
    <row r="54" spans="1:34" ht="24" customHeight="1">
      <c r="A54" s="5"/>
      <c r="B54" s="5"/>
      <c r="C54" s="5"/>
      <c r="D54" s="8"/>
      <c r="E54" s="10">
        <f>IF(OR(A54="",B54=""),0,IF(ISNUMBER(D54),D54,IF(OR(AND(Procedura!$B$10="Lavori",AC54=10),AND(Procedura!$B$10&lt;&gt;"Lavori",AC54=2)),IF(Procedura!$B$29="Si",IF(C54="RUP",IF(Procedura!$B$10="Lavori",20%,IF(Voci!$M$7&gt;0,(Voci!$J$7*(1-Procedura!$B$39)+(Voci!$J$7*Procedura!$B$39-Voci!$L$7)*20%)/Voci!$M$7,0)),IF(C54="Responsabile fase",IF(Procedura!$B$10="Lavori",80%,IF(Voci!$M$7&gt;0,(Voci!$J$7*Procedura!$B$39-Voci!$L$7)*80%/Voci!$M$7,0)),0)),IF(C54="RUP",1,0)),IF(IF(Procedura!$B$10="Lavori",OR(AC54=3,AC54=13),AC54=5),IF(C54="RUP",1,0),IF(IF(Procedura!$B$10="Lavori",OR(AC54=4,AC54=11,AC54=14),OR(AC54=3,AC54=6)),IF(AND(AD54&gt;0,AE54&gt;0),IF(OR(C54="Supporto",C54="Responsabile fase"),60%/AD54,IF(C54="Altro",40%/AE54,0)),IF(AF54&gt;0,1/AF54,0)),IF(AF54&gt;0,1/AF54,0))))))</f>
        <v>0</v>
      </c>
      <c r="F54" s="11">
        <f>IF(A54="",0,INDEX(Voci!$M$6:$M$24,MATCH(A54,Voci!$A$6:$A$24,0))*E54)</f>
        <v>0</v>
      </c>
      <c r="G54" s="11">
        <f>IF(A54="",0,INDEX(Voci!$O$6:$O$24,MATCH(A54,Voci!$A$6:$A$24,0))*E54)</f>
        <v>0</v>
      </c>
      <c r="H54" s="5" t="s">
        <v>60</v>
      </c>
      <c r="I54" s="5" t="s">
        <v>67</v>
      </c>
      <c r="J54" s="8">
        <v>0</v>
      </c>
      <c r="K54" s="8">
        <v>0</v>
      </c>
      <c r="L54" s="8">
        <v>0</v>
      </c>
      <c r="M54" s="8">
        <v>0</v>
      </c>
      <c r="N54" s="5"/>
      <c r="O54" s="10">
        <f t="shared" si="15"/>
        <v>0</v>
      </c>
      <c r="P54" s="10">
        <f t="shared" si="16"/>
        <v>0</v>
      </c>
      <c r="Q54" s="10">
        <f t="shared" si="17"/>
        <v>0</v>
      </c>
      <c r="R54" s="10">
        <f t="shared" si="18"/>
        <v>0</v>
      </c>
      <c r="S54" s="11">
        <f t="shared" si="19"/>
        <v>0</v>
      </c>
      <c r="T54" s="11">
        <f t="shared" si="20"/>
        <v>0</v>
      </c>
      <c r="U54" s="11">
        <f t="shared" si="21"/>
        <v>0</v>
      </c>
      <c r="V54" s="10">
        <f>IF(B54="",0,INDEX(Personale!$F$6:$F$25,MATCH(B54,Personale!$A$6:$A$25,0)))</f>
        <v>0</v>
      </c>
      <c r="W54" s="11">
        <f t="shared" si="22"/>
        <v>0</v>
      </c>
      <c r="X54" s="11">
        <f t="shared" si="23"/>
        <v>0</v>
      </c>
      <c r="Y54" s="11">
        <f>IF(B54="",0,W54*INDEX(Personale!$G$6:$G$25,MATCH(B54,Personale!$A$6:$A$25,0)))</f>
        <v>0</v>
      </c>
      <c r="Z54" s="2" t="str">
        <f>IF(AND(A54&lt;&gt;"",Procedura!$B$10&lt;&gt;"Lavori",AC54=7,B54=Procedura!$B$28),"DEC DEVE ESSERE DIVERSO DAL RUP",IF(AND(ISNUMBER(D54),OR(OR(AND(Procedura!$B$10="Lavori",AC54=10),AND(Procedura!$B$10&lt;&gt;"Lavori",AC54=2)),IF(Procedura!$B$10="Lavori",OR(AC54=3,AC54=13),AC54=5)),ABS(E54-IF(IF(Procedura!$B$10="Lavori",OR(AC54=3,AC54=13),AC54=5),1,IF(Procedura!$B$29="No",1,IF(C54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FISSO",IF(AND(A54="",B54=""),"",IF(OR(A54="",B54="",C54=""),"COMPLETARE VOCE PERSONA RUOLO",IF(COUNTIFS($AA$6:$AA$105,AA54)&gt;1,"PERSONA RIPETUTA NELLA VOCE",IF(INDEX(Voci!$F$6:$F$24,MATCH(A54,Voci!$A$6:$A$24,0))&lt;&gt;"Interna","VOCE NON INTERNA",IF(OR(AND(C54="RUP",B54&lt;&gt;Procedura!$B$28),AND(C54="Responsabile fase",OR(Procedura!$B$29&lt;&gt;"Si",B54&lt;&gt;Procedura!$B$30)),AND(OR(OR(AND(Procedura!$B$10="Lavori",AC54=10),AND(Procedura!$B$10&lt;&gt;"Lavori",AC54=2)),IF(Procedura!$B$10="Lavori",OR(AC54=3,AC54=13),AC54=5)),NOT(OR(C54="RUP",AND(OR(AND(Procedura!$B$10="Lavori",AC54=10),AND(Procedura!$B$10&lt;&gt;"Lavori",AC54=2)),C54="Responsabile fase",Procedura!$B$29="Si")))),AND(IF(Procedura!$B$10="Lavori",OR(AC54=4,AC54=11,AC54=14),OR(AC54=3,AC54=6)),NOT(OR(C54="Supporto",C54="Altro",C54="Responsabile fase")))),"RUOLO NON COERENTE",IF(AND(IF(Procedura!$B$10="Lavori",OR(AC54=4,AC54=11,AC54=14),OR(AC54=3,AC54=6)),B54=Procedura!$B$28),"RUP E COLLABORAZIONE INCOMPATIBILI",IF(AND(AG54&gt;0,AG54&lt;&gt;AF54),"PESI MANUALI SOLO SU ALCUNE RIGHE",IF(AND(J54&gt;0,NOT(AND(Procedura!$B$10="Lavori",OR(AC54=5,AC54=6)))),"RITARDO PROGETTAZIONE NON PERTINENTE",IF(AND(M54&gt;0,M54&lt;5%),"CARENZE INFERIORI AL 5%",IF(AND(OR(J54&gt;0,K54&gt;0,L54&gt;0,M54&gt;0,I54="Si"),N54=""),"MOTIVARE ESCLUSIONE O RIDUZIONE",IF(AND(G54&gt;0,H54="Da verificare"),"ATTESTAZIONE DA ACQUISIRE",IF(AND(G54&gt;0,H54="Si",N54=""),"INDICARE ATTI ATTIVITA","COERENTE"))))))))))))))</f>
        <v/>
      </c>
      <c r="AA54" s="2" t="str">
        <f t="shared" si="24"/>
        <v/>
      </c>
      <c r="AB54" s="2" t="str">
        <f>IF(A54="","",INDEX(Voci!$C$6:$C$24,MATCH(A54,Voci!$A$6:$A$24,0)))</f>
        <v/>
      </c>
      <c r="AC54" s="2">
        <f>IF(A54="",0,INDEX(Voci!$B$6:$B$24,MATCH(A54,Voci!$A$6:$A$24,0)))</f>
        <v>0</v>
      </c>
      <c r="AD54" s="2">
        <f t="shared" si="25"/>
        <v>0</v>
      </c>
      <c r="AE54" s="2">
        <f t="shared" si="26"/>
        <v>0</v>
      </c>
      <c r="AF54" s="2">
        <f t="shared" si="27"/>
        <v>0</v>
      </c>
      <c r="AG54" s="2">
        <f t="shared" si="28"/>
        <v>0</v>
      </c>
      <c r="AH54">
        <f t="shared" si="29"/>
        <v>0</v>
      </c>
    </row>
    <row r="55" spans="1:34" ht="24" customHeight="1">
      <c r="A55" s="5"/>
      <c r="B55" s="5"/>
      <c r="C55" s="5"/>
      <c r="D55" s="8"/>
      <c r="E55" s="10">
        <f>IF(OR(A55="",B55=""),0,IF(ISNUMBER(D55),D55,IF(OR(AND(Procedura!$B$10="Lavori",AC55=10),AND(Procedura!$B$10&lt;&gt;"Lavori",AC55=2)),IF(Procedura!$B$29="Si",IF(C55="RUP",IF(Procedura!$B$10="Lavori",20%,IF(Voci!$M$7&gt;0,(Voci!$J$7*(1-Procedura!$B$39)+(Voci!$J$7*Procedura!$B$39-Voci!$L$7)*20%)/Voci!$M$7,0)),IF(C55="Responsabile fase",IF(Procedura!$B$10="Lavori",80%,IF(Voci!$M$7&gt;0,(Voci!$J$7*Procedura!$B$39-Voci!$L$7)*80%/Voci!$M$7,0)),0)),IF(C55="RUP",1,0)),IF(IF(Procedura!$B$10="Lavori",OR(AC55=3,AC55=13),AC55=5),IF(C55="RUP",1,0),IF(IF(Procedura!$B$10="Lavori",OR(AC55=4,AC55=11,AC55=14),OR(AC55=3,AC55=6)),IF(AND(AD55&gt;0,AE55&gt;0),IF(OR(C55="Supporto",C55="Responsabile fase"),60%/AD55,IF(C55="Altro",40%/AE55,0)),IF(AF55&gt;0,1/AF55,0)),IF(AF55&gt;0,1/AF55,0))))))</f>
        <v>0</v>
      </c>
      <c r="F55" s="11">
        <f>IF(A55="",0,INDEX(Voci!$M$6:$M$24,MATCH(A55,Voci!$A$6:$A$24,0))*E55)</f>
        <v>0</v>
      </c>
      <c r="G55" s="11">
        <f>IF(A55="",0,INDEX(Voci!$O$6:$O$24,MATCH(A55,Voci!$A$6:$A$24,0))*E55)</f>
        <v>0</v>
      </c>
      <c r="H55" s="5" t="s">
        <v>60</v>
      </c>
      <c r="I55" s="5" t="s">
        <v>67</v>
      </c>
      <c r="J55" s="8">
        <v>0</v>
      </c>
      <c r="K55" s="8">
        <v>0</v>
      </c>
      <c r="L55" s="8">
        <v>0</v>
      </c>
      <c r="M55" s="8">
        <v>0</v>
      </c>
      <c r="N55" s="5"/>
      <c r="O55" s="10">
        <f t="shared" si="15"/>
        <v>0</v>
      </c>
      <c r="P55" s="10">
        <f t="shared" si="16"/>
        <v>0</v>
      </c>
      <c r="Q55" s="10">
        <f t="shared" si="17"/>
        <v>0</v>
      </c>
      <c r="R55" s="10">
        <f t="shared" si="18"/>
        <v>0</v>
      </c>
      <c r="S55" s="11">
        <f t="shared" si="19"/>
        <v>0</v>
      </c>
      <c r="T55" s="11">
        <f t="shared" si="20"/>
        <v>0</v>
      </c>
      <c r="U55" s="11">
        <f t="shared" si="21"/>
        <v>0</v>
      </c>
      <c r="V55" s="10">
        <f>IF(B55="",0,INDEX(Personale!$F$6:$F$25,MATCH(B55,Personale!$A$6:$A$25,0)))</f>
        <v>0</v>
      </c>
      <c r="W55" s="11">
        <f t="shared" si="22"/>
        <v>0</v>
      </c>
      <c r="X55" s="11">
        <f t="shared" si="23"/>
        <v>0</v>
      </c>
      <c r="Y55" s="11">
        <f>IF(B55="",0,W55*INDEX(Personale!$G$6:$G$25,MATCH(B55,Personale!$A$6:$A$25,0)))</f>
        <v>0</v>
      </c>
      <c r="Z55" s="2" t="str">
        <f>IF(AND(A55&lt;&gt;"",Procedura!$B$10&lt;&gt;"Lavori",AC55=7,B55=Procedura!$B$28),"DEC DEVE ESSERE DIVERSO DAL RUP",IF(AND(ISNUMBER(D55),OR(OR(AND(Procedura!$B$10="Lavori",AC55=10),AND(Procedura!$B$10&lt;&gt;"Lavori",AC55=2)),IF(Procedura!$B$10="Lavori",OR(AC55=3,AC55=13),AC55=5)),ABS(E55-IF(IF(Procedura!$B$10="Lavori",OR(AC55=3,AC55=13),AC55=5),1,IF(Procedura!$B$29="No",1,IF(C55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FISSO",IF(AND(A55="",B55=""),"",IF(OR(A55="",B55="",C55=""),"COMPLETARE VOCE PERSONA RUOLO",IF(COUNTIFS($AA$6:$AA$105,AA55)&gt;1,"PERSONA RIPETUTA NELLA VOCE",IF(INDEX(Voci!$F$6:$F$24,MATCH(A55,Voci!$A$6:$A$24,0))&lt;&gt;"Interna","VOCE NON INTERNA",IF(OR(AND(C55="RUP",B55&lt;&gt;Procedura!$B$28),AND(C55="Responsabile fase",OR(Procedura!$B$29&lt;&gt;"Si",B55&lt;&gt;Procedura!$B$30)),AND(OR(OR(AND(Procedura!$B$10="Lavori",AC55=10),AND(Procedura!$B$10&lt;&gt;"Lavori",AC55=2)),IF(Procedura!$B$10="Lavori",OR(AC55=3,AC55=13),AC55=5)),NOT(OR(C55="RUP",AND(OR(AND(Procedura!$B$10="Lavori",AC55=10),AND(Procedura!$B$10&lt;&gt;"Lavori",AC55=2)),C55="Responsabile fase",Procedura!$B$29="Si")))),AND(IF(Procedura!$B$10="Lavori",OR(AC55=4,AC55=11,AC55=14),OR(AC55=3,AC55=6)),NOT(OR(C55="Supporto",C55="Altro",C55="Responsabile fase")))),"RUOLO NON COERENTE",IF(AND(IF(Procedura!$B$10="Lavori",OR(AC55=4,AC55=11,AC55=14),OR(AC55=3,AC55=6)),B55=Procedura!$B$28),"RUP E COLLABORAZIONE INCOMPATIBILI",IF(AND(AG55&gt;0,AG55&lt;&gt;AF55),"PESI MANUALI SOLO SU ALCUNE RIGHE",IF(AND(J55&gt;0,NOT(AND(Procedura!$B$10="Lavori",OR(AC55=5,AC55=6)))),"RITARDO PROGETTAZIONE NON PERTINENTE",IF(AND(M55&gt;0,M55&lt;5%),"CARENZE INFERIORI AL 5%",IF(AND(OR(J55&gt;0,K55&gt;0,L55&gt;0,M55&gt;0,I55="Si"),N55=""),"MOTIVARE ESCLUSIONE O RIDUZIONE",IF(AND(G55&gt;0,H55="Da verificare"),"ATTESTAZIONE DA ACQUISIRE",IF(AND(G55&gt;0,H55="Si",N55=""),"INDICARE ATTI ATTIVITA","COERENTE"))))))))))))))</f>
        <v/>
      </c>
      <c r="AA55" s="2" t="str">
        <f t="shared" si="24"/>
        <v/>
      </c>
      <c r="AB55" s="2" t="str">
        <f>IF(A55="","",INDEX(Voci!$C$6:$C$24,MATCH(A55,Voci!$A$6:$A$24,0)))</f>
        <v/>
      </c>
      <c r="AC55" s="2">
        <f>IF(A55="",0,INDEX(Voci!$B$6:$B$24,MATCH(A55,Voci!$A$6:$A$24,0)))</f>
        <v>0</v>
      </c>
      <c r="AD55" s="2">
        <f t="shared" si="25"/>
        <v>0</v>
      </c>
      <c r="AE55" s="2">
        <f t="shared" si="26"/>
        <v>0</v>
      </c>
      <c r="AF55" s="2">
        <f t="shared" si="27"/>
        <v>0</v>
      </c>
      <c r="AG55" s="2">
        <f t="shared" si="28"/>
        <v>0</v>
      </c>
      <c r="AH55">
        <f t="shared" si="29"/>
        <v>0</v>
      </c>
    </row>
    <row r="56" spans="1:34" ht="24" customHeight="1">
      <c r="A56" s="5"/>
      <c r="B56" s="5"/>
      <c r="C56" s="5"/>
      <c r="D56" s="8"/>
      <c r="E56" s="10">
        <f>IF(OR(A56="",B56=""),0,IF(ISNUMBER(D56),D56,IF(OR(AND(Procedura!$B$10="Lavori",AC56=10),AND(Procedura!$B$10&lt;&gt;"Lavori",AC56=2)),IF(Procedura!$B$29="Si",IF(C56="RUP",IF(Procedura!$B$10="Lavori",20%,IF(Voci!$M$7&gt;0,(Voci!$J$7*(1-Procedura!$B$39)+(Voci!$J$7*Procedura!$B$39-Voci!$L$7)*20%)/Voci!$M$7,0)),IF(C56="Responsabile fase",IF(Procedura!$B$10="Lavori",80%,IF(Voci!$M$7&gt;0,(Voci!$J$7*Procedura!$B$39-Voci!$L$7)*80%/Voci!$M$7,0)),0)),IF(C56="RUP",1,0)),IF(IF(Procedura!$B$10="Lavori",OR(AC56=3,AC56=13),AC56=5),IF(C56="RUP",1,0),IF(IF(Procedura!$B$10="Lavori",OR(AC56=4,AC56=11,AC56=14),OR(AC56=3,AC56=6)),IF(AND(AD56&gt;0,AE56&gt;0),IF(OR(C56="Supporto",C56="Responsabile fase"),60%/AD56,IF(C56="Altro",40%/AE56,0)),IF(AF56&gt;0,1/AF56,0)),IF(AF56&gt;0,1/AF56,0))))))</f>
        <v>0</v>
      </c>
      <c r="F56" s="11">
        <f>IF(A56="",0,INDEX(Voci!$M$6:$M$24,MATCH(A56,Voci!$A$6:$A$24,0))*E56)</f>
        <v>0</v>
      </c>
      <c r="G56" s="11">
        <f>IF(A56="",0,INDEX(Voci!$O$6:$O$24,MATCH(A56,Voci!$A$6:$A$24,0))*E56)</f>
        <v>0</v>
      </c>
      <c r="H56" s="5" t="s">
        <v>60</v>
      </c>
      <c r="I56" s="5" t="s">
        <v>67</v>
      </c>
      <c r="J56" s="8">
        <v>0</v>
      </c>
      <c r="K56" s="8">
        <v>0</v>
      </c>
      <c r="L56" s="8">
        <v>0</v>
      </c>
      <c r="M56" s="8">
        <v>0</v>
      </c>
      <c r="N56" s="5"/>
      <c r="O56" s="10">
        <f t="shared" si="15"/>
        <v>0</v>
      </c>
      <c r="P56" s="10">
        <f t="shared" si="16"/>
        <v>0</v>
      </c>
      <c r="Q56" s="10">
        <f t="shared" si="17"/>
        <v>0</v>
      </c>
      <c r="R56" s="10">
        <f t="shared" si="18"/>
        <v>0</v>
      </c>
      <c r="S56" s="11">
        <f t="shared" si="19"/>
        <v>0</v>
      </c>
      <c r="T56" s="11">
        <f t="shared" si="20"/>
        <v>0</v>
      </c>
      <c r="U56" s="11">
        <f t="shared" si="21"/>
        <v>0</v>
      </c>
      <c r="V56" s="10">
        <f>IF(B56="",0,INDEX(Personale!$F$6:$F$25,MATCH(B56,Personale!$A$6:$A$25,0)))</f>
        <v>0</v>
      </c>
      <c r="W56" s="11">
        <f t="shared" si="22"/>
        <v>0</v>
      </c>
      <c r="X56" s="11">
        <f t="shared" si="23"/>
        <v>0</v>
      </c>
      <c r="Y56" s="11">
        <f>IF(B56="",0,W56*INDEX(Personale!$G$6:$G$25,MATCH(B56,Personale!$A$6:$A$25,0)))</f>
        <v>0</v>
      </c>
      <c r="Z56" s="2" t="str">
        <f>IF(AND(A56&lt;&gt;"",Procedura!$B$10&lt;&gt;"Lavori",AC56=7,B56=Procedura!$B$28),"DEC DEVE ESSERE DIVERSO DAL RUP",IF(AND(ISNUMBER(D56),OR(OR(AND(Procedura!$B$10="Lavori",AC56=10),AND(Procedura!$B$10&lt;&gt;"Lavori",AC56=2)),IF(Procedura!$B$10="Lavori",OR(AC56=3,AC56=13),AC56=5)),ABS(E56-IF(IF(Procedura!$B$10="Lavori",OR(AC56=3,AC56=13),AC56=5),1,IF(Procedura!$B$29="No",1,IF(C56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FISSO",IF(AND(A56="",B56=""),"",IF(OR(A56="",B56="",C56=""),"COMPLETARE VOCE PERSONA RUOLO",IF(COUNTIFS($AA$6:$AA$105,AA56)&gt;1,"PERSONA RIPETUTA NELLA VOCE",IF(INDEX(Voci!$F$6:$F$24,MATCH(A56,Voci!$A$6:$A$24,0))&lt;&gt;"Interna","VOCE NON INTERNA",IF(OR(AND(C56="RUP",B56&lt;&gt;Procedura!$B$28),AND(C56="Responsabile fase",OR(Procedura!$B$29&lt;&gt;"Si",B56&lt;&gt;Procedura!$B$30)),AND(OR(OR(AND(Procedura!$B$10="Lavori",AC56=10),AND(Procedura!$B$10&lt;&gt;"Lavori",AC56=2)),IF(Procedura!$B$10="Lavori",OR(AC56=3,AC56=13),AC56=5)),NOT(OR(C56="RUP",AND(OR(AND(Procedura!$B$10="Lavori",AC56=10),AND(Procedura!$B$10&lt;&gt;"Lavori",AC56=2)),C56="Responsabile fase",Procedura!$B$29="Si")))),AND(IF(Procedura!$B$10="Lavori",OR(AC56=4,AC56=11,AC56=14),OR(AC56=3,AC56=6)),NOT(OR(C56="Supporto",C56="Altro",C56="Responsabile fase")))),"RUOLO NON COERENTE",IF(AND(IF(Procedura!$B$10="Lavori",OR(AC56=4,AC56=11,AC56=14),OR(AC56=3,AC56=6)),B56=Procedura!$B$28),"RUP E COLLABORAZIONE INCOMPATIBILI",IF(AND(AG56&gt;0,AG56&lt;&gt;AF56),"PESI MANUALI SOLO SU ALCUNE RIGHE",IF(AND(J56&gt;0,NOT(AND(Procedura!$B$10="Lavori",OR(AC56=5,AC56=6)))),"RITARDO PROGETTAZIONE NON PERTINENTE",IF(AND(M56&gt;0,M56&lt;5%),"CARENZE INFERIORI AL 5%",IF(AND(OR(J56&gt;0,K56&gt;0,L56&gt;0,M56&gt;0,I56="Si"),N56=""),"MOTIVARE ESCLUSIONE O RIDUZIONE",IF(AND(G56&gt;0,H56="Da verificare"),"ATTESTAZIONE DA ACQUISIRE",IF(AND(G56&gt;0,H56="Si",N56=""),"INDICARE ATTI ATTIVITA","COERENTE"))))))))))))))</f>
        <v/>
      </c>
      <c r="AA56" s="2" t="str">
        <f t="shared" si="24"/>
        <v/>
      </c>
      <c r="AB56" s="2" t="str">
        <f>IF(A56="","",INDEX(Voci!$C$6:$C$24,MATCH(A56,Voci!$A$6:$A$24,0)))</f>
        <v/>
      </c>
      <c r="AC56" s="2">
        <f>IF(A56="",0,INDEX(Voci!$B$6:$B$24,MATCH(A56,Voci!$A$6:$A$24,0)))</f>
        <v>0</v>
      </c>
      <c r="AD56" s="2">
        <f t="shared" si="25"/>
        <v>0</v>
      </c>
      <c r="AE56" s="2">
        <f t="shared" si="26"/>
        <v>0</v>
      </c>
      <c r="AF56" s="2">
        <f t="shared" si="27"/>
        <v>0</v>
      </c>
      <c r="AG56" s="2">
        <f t="shared" si="28"/>
        <v>0</v>
      </c>
      <c r="AH56">
        <f t="shared" si="29"/>
        <v>0</v>
      </c>
    </row>
    <row r="57" spans="1:34" ht="24" customHeight="1">
      <c r="A57" s="5"/>
      <c r="B57" s="5"/>
      <c r="C57" s="5"/>
      <c r="D57" s="8"/>
      <c r="E57" s="10">
        <f>IF(OR(A57="",B57=""),0,IF(ISNUMBER(D57),D57,IF(OR(AND(Procedura!$B$10="Lavori",AC57=10),AND(Procedura!$B$10&lt;&gt;"Lavori",AC57=2)),IF(Procedura!$B$29="Si",IF(C57="RUP",IF(Procedura!$B$10="Lavori",20%,IF(Voci!$M$7&gt;0,(Voci!$J$7*(1-Procedura!$B$39)+(Voci!$J$7*Procedura!$B$39-Voci!$L$7)*20%)/Voci!$M$7,0)),IF(C57="Responsabile fase",IF(Procedura!$B$10="Lavori",80%,IF(Voci!$M$7&gt;0,(Voci!$J$7*Procedura!$B$39-Voci!$L$7)*80%/Voci!$M$7,0)),0)),IF(C57="RUP",1,0)),IF(IF(Procedura!$B$10="Lavori",OR(AC57=3,AC57=13),AC57=5),IF(C57="RUP",1,0),IF(IF(Procedura!$B$10="Lavori",OR(AC57=4,AC57=11,AC57=14),OR(AC57=3,AC57=6)),IF(AND(AD57&gt;0,AE57&gt;0),IF(OR(C57="Supporto",C57="Responsabile fase"),60%/AD57,IF(C57="Altro",40%/AE57,0)),IF(AF57&gt;0,1/AF57,0)),IF(AF57&gt;0,1/AF57,0))))))</f>
        <v>0</v>
      </c>
      <c r="F57" s="11">
        <f>IF(A57="",0,INDEX(Voci!$M$6:$M$24,MATCH(A57,Voci!$A$6:$A$24,0))*E57)</f>
        <v>0</v>
      </c>
      <c r="G57" s="11">
        <f>IF(A57="",0,INDEX(Voci!$O$6:$O$24,MATCH(A57,Voci!$A$6:$A$24,0))*E57)</f>
        <v>0</v>
      </c>
      <c r="H57" s="5" t="s">
        <v>60</v>
      </c>
      <c r="I57" s="5" t="s">
        <v>67</v>
      </c>
      <c r="J57" s="8">
        <v>0</v>
      </c>
      <c r="K57" s="8">
        <v>0</v>
      </c>
      <c r="L57" s="8">
        <v>0</v>
      </c>
      <c r="M57" s="8">
        <v>0</v>
      </c>
      <c r="N57" s="5"/>
      <c r="O57" s="10">
        <f t="shared" si="15"/>
        <v>0</v>
      </c>
      <c r="P57" s="10">
        <f t="shared" si="16"/>
        <v>0</v>
      </c>
      <c r="Q57" s="10">
        <f t="shared" si="17"/>
        <v>0</v>
      </c>
      <c r="R57" s="10">
        <f t="shared" si="18"/>
        <v>0</v>
      </c>
      <c r="S57" s="11">
        <f t="shared" si="19"/>
        <v>0</v>
      </c>
      <c r="T57" s="11">
        <f t="shared" si="20"/>
        <v>0</v>
      </c>
      <c r="U57" s="11">
        <f t="shared" si="21"/>
        <v>0</v>
      </c>
      <c r="V57" s="10">
        <f>IF(B57="",0,INDEX(Personale!$F$6:$F$25,MATCH(B57,Personale!$A$6:$A$25,0)))</f>
        <v>0</v>
      </c>
      <c r="W57" s="11">
        <f t="shared" si="22"/>
        <v>0</v>
      </c>
      <c r="X57" s="11">
        <f t="shared" si="23"/>
        <v>0</v>
      </c>
      <c r="Y57" s="11">
        <f>IF(B57="",0,W57*INDEX(Personale!$G$6:$G$25,MATCH(B57,Personale!$A$6:$A$25,0)))</f>
        <v>0</v>
      </c>
      <c r="Z57" s="2" t="str">
        <f>IF(AND(A57&lt;&gt;"",Procedura!$B$10&lt;&gt;"Lavori",AC57=7,B57=Procedura!$B$28),"DEC DEVE ESSERE DIVERSO DAL RUP",IF(AND(ISNUMBER(D57),OR(OR(AND(Procedura!$B$10="Lavori",AC57=10),AND(Procedura!$B$10&lt;&gt;"Lavori",AC57=2)),IF(Procedura!$B$10="Lavori",OR(AC57=3,AC57=13),AC57=5)),ABS(E57-IF(IF(Procedura!$B$10="Lavori",OR(AC57=3,AC57=13),AC57=5),1,IF(Procedura!$B$29="No",1,IF(C57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FISSO",IF(AND(A57="",B57=""),"",IF(OR(A57="",B57="",C57=""),"COMPLETARE VOCE PERSONA RUOLO",IF(COUNTIFS($AA$6:$AA$105,AA57)&gt;1,"PERSONA RIPETUTA NELLA VOCE",IF(INDEX(Voci!$F$6:$F$24,MATCH(A57,Voci!$A$6:$A$24,0))&lt;&gt;"Interna","VOCE NON INTERNA",IF(OR(AND(C57="RUP",B57&lt;&gt;Procedura!$B$28),AND(C57="Responsabile fase",OR(Procedura!$B$29&lt;&gt;"Si",B57&lt;&gt;Procedura!$B$30)),AND(OR(OR(AND(Procedura!$B$10="Lavori",AC57=10),AND(Procedura!$B$10&lt;&gt;"Lavori",AC57=2)),IF(Procedura!$B$10="Lavori",OR(AC57=3,AC57=13),AC57=5)),NOT(OR(C57="RUP",AND(OR(AND(Procedura!$B$10="Lavori",AC57=10),AND(Procedura!$B$10&lt;&gt;"Lavori",AC57=2)),C57="Responsabile fase",Procedura!$B$29="Si")))),AND(IF(Procedura!$B$10="Lavori",OR(AC57=4,AC57=11,AC57=14),OR(AC57=3,AC57=6)),NOT(OR(C57="Supporto",C57="Altro",C57="Responsabile fase")))),"RUOLO NON COERENTE",IF(AND(IF(Procedura!$B$10="Lavori",OR(AC57=4,AC57=11,AC57=14),OR(AC57=3,AC57=6)),B57=Procedura!$B$28),"RUP E COLLABORAZIONE INCOMPATIBILI",IF(AND(AG57&gt;0,AG57&lt;&gt;AF57),"PESI MANUALI SOLO SU ALCUNE RIGHE",IF(AND(J57&gt;0,NOT(AND(Procedura!$B$10="Lavori",OR(AC57=5,AC57=6)))),"RITARDO PROGETTAZIONE NON PERTINENTE",IF(AND(M57&gt;0,M57&lt;5%),"CARENZE INFERIORI AL 5%",IF(AND(OR(J57&gt;0,K57&gt;0,L57&gt;0,M57&gt;0,I57="Si"),N57=""),"MOTIVARE ESCLUSIONE O RIDUZIONE",IF(AND(G57&gt;0,H57="Da verificare"),"ATTESTAZIONE DA ACQUISIRE",IF(AND(G57&gt;0,H57="Si",N57=""),"INDICARE ATTI ATTIVITA","COERENTE"))))))))))))))</f>
        <v/>
      </c>
      <c r="AA57" s="2" t="str">
        <f t="shared" si="24"/>
        <v/>
      </c>
      <c r="AB57" s="2" t="str">
        <f>IF(A57="","",INDEX(Voci!$C$6:$C$24,MATCH(A57,Voci!$A$6:$A$24,0)))</f>
        <v/>
      </c>
      <c r="AC57" s="2">
        <f>IF(A57="",0,INDEX(Voci!$B$6:$B$24,MATCH(A57,Voci!$A$6:$A$24,0)))</f>
        <v>0</v>
      </c>
      <c r="AD57" s="2">
        <f t="shared" si="25"/>
        <v>0</v>
      </c>
      <c r="AE57" s="2">
        <f t="shared" si="26"/>
        <v>0</v>
      </c>
      <c r="AF57" s="2">
        <f t="shared" si="27"/>
        <v>0</v>
      </c>
      <c r="AG57" s="2">
        <f t="shared" si="28"/>
        <v>0</v>
      </c>
      <c r="AH57">
        <f t="shared" si="29"/>
        <v>0</v>
      </c>
    </row>
    <row r="58" spans="1:34" ht="24" customHeight="1">
      <c r="A58" s="5"/>
      <c r="B58" s="5"/>
      <c r="C58" s="5"/>
      <c r="D58" s="8"/>
      <c r="E58" s="10">
        <f>IF(OR(A58="",B58=""),0,IF(ISNUMBER(D58),D58,IF(OR(AND(Procedura!$B$10="Lavori",AC58=10),AND(Procedura!$B$10&lt;&gt;"Lavori",AC58=2)),IF(Procedura!$B$29="Si",IF(C58="RUP",IF(Procedura!$B$10="Lavori",20%,IF(Voci!$M$7&gt;0,(Voci!$J$7*(1-Procedura!$B$39)+(Voci!$J$7*Procedura!$B$39-Voci!$L$7)*20%)/Voci!$M$7,0)),IF(C58="Responsabile fase",IF(Procedura!$B$10="Lavori",80%,IF(Voci!$M$7&gt;0,(Voci!$J$7*Procedura!$B$39-Voci!$L$7)*80%/Voci!$M$7,0)),0)),IF(C58="RUP",1,0)),IF(IF(Procedura!$B$10="Lavori",OR(AC58=3,AC58=13),AC58=5),IF(C58="RUP",1,0),IF(IF(Procedura!$B$10="Lavori",OR(AC58=4,AC58=11,AC58=14),OR(AC58=3,AC58=6)),IF(AND(AD58&gt;0,AE58&gt;0),IF(OR(C58="Supporto",C58="Responsabile fase"),60%/AD58,IF(C58="Altro",40%/AE58,0)),IF(AF58&gt;0,1/AF58,0)),IF(AF58&gt;0,1/AF58,0))))))</f>
        <v>0</v>
      </c>
      <c r="F58" s="11">
        <f>IF(A58="",0,INDEX(Voci!$M$6:$M$24,MATCH(A58,Voci!$A$6:$A$24,0))*E58)</f>
        <v>0</v>
      </c>
      <c r="G58" s="11">
        <f>IF(A58="",0,INDEX(Voci!$O$6:$O$24,MATCH(A58,Voci!$A$6:$A$24,0))*E58)</f>
        <v>0</v>
      </c>
      <c r="H58" s="5" t="s">
        <v>60</v>
      </c>
      <c r="I58" s="5" t="s">
        <v>67</v>
      </c>
      <c r="J58" s="8">
        <v>0</v>
      </c>
      <c r="K58" s="8">
        <v>0</v>
      </c>
      <c r="L58" s="8">
        <v>0</v>
      </c>
      <c r="M58" s="8">
        <v>0</v>
      </c>
      <c r="N58" s="5"/>
      <c r="O58" s="10">
        <f t="shared" si="15"/>
        <v>0</v>
      </c>
      <c r="P58" s="10">
        <f t="shared" si="16"/>
        <v>0</v>
      </c>
      <c r="Q58" s="10">
        <f t="shared" si="17"/>
        <v>0</v>
      </c>
      <c r="R58" s="10">
        <f t="shared" si="18"/>
        <v>0</v>
      </c>
      <c r="S58" s="11">
        <f t="shared" si="19"/>
        <v>0</v>
      </c>
      <c r="T58" s="11">
        <f t="shared" si="20"/>
        <v>0</v>
      </c>
      <c r="U58" s="11">
        <f t="shared" si="21"/>
        <v>0</v>
      </c>
      <c r="V58" s="10">
        <f>IF(B58="",0,INDEX(Personale!$F$6:$F$25,MATCH(B58,Personale!$A$6:$A$25,0)))</f>
        <v>0</v>
      </c>
      <c r="W58" s="11">
        <f t="shared" si="22"/>
        <v>0</v>
      </c>
      <c r="X58" s="11">
        <f t="shared" si="23"/>
        <v>0</v>
      </c>
      <c r="Y58" s="11">
        <f>IF(B58="",0,W58*INDEX(Personale!$G$6:$G$25,MATCH(B58,Personale!$A$6:$A$25,0)))</f>
        <v>0</v>
      </c>
      <c r="Z58" s="2" t="str">
        <f>IF(AND(A58&lt;&gt;"",Procedura!$B$10&lt;&gt;"Lavori",AC58=7,B58=Procedura!$B$28),"DEC DEVE ESSERE DIVERSO DAL RUP",IF(AND(ISNUMBER(D58),OR(OR(AND(Procedura!$B$10="Lavori",AC58=10),AND(Procedura!$B$10&lt;&gt;"Lavori",AC58=2)),IF(Procedura!$B$10="Lavori",OR(AC58=3,AC58=13),AC58=5)),ABS(E58-IF(IF(Procedura!$B$10="Lavori",OR(AC58=3,AC58=13),AC58=5),1,IF(Procedura!$B$29="No",1,IF(C58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FISSO",IF(AND(A58="",B58=""),"",IF(OR(A58="",B58="",C58=""),"COMPLETARE VOCE PERSONA RUOLO",IF(COUNTIFS($AA$6:$AA$105,AA58)&gt;1,"PERSONA RIPETUTA NELLA VOCE",IF(INDEX(Voci!$F$6:$F$24,MATCH(A58,Voci!$A$6:$A$24,0))&lt;&gt;"Interna","VOCE NON INTERNA",IF(OR(AND(C58="RUP",B58&lt;&gt;Procedura!$B$28),AND(C58="Responsabile fase",OR(Procedura!$B$29&lt;&gt;"Si",B58&lt;&gt;Procedura!$B$30)),AND(OR(OR(AND(Procedura!$B$10="Lavori",AC58=10),AND(Procedura!$B$10&lt;&gt;"Lavori",AC58=2)),IF(Procedura!$B$10="Lavori",OR(AC58=3,AC58=13),AC58=5)),NOT(OR(C58="RUP",AND(OR(AND(Procedura!$B$10="Lavori",AC58=10),AND(Procedura!$B$10&lt;&gt;"Lavori",AC58=2)),C58="Responsabile fase",Procedura!$B$29="Si")))),AND(IF(Procedura!$B$10="Lavori",OR(AC58=4,AC58=11,AC58=14),OR(AC58=3,AC58=6)),NOT(OR(C58="Supporto",C58="Altro",C58="Responsabile fase")))),"RUOLO NON COERENTE",IF(AND(IF(Procedura!$B$10="Lavori",OR(AC58=4,AC58=11,AC58=14),OR(AC58=3,AC58=6)),B58=Procedura!$B$28),"RUP E COLLABORAZIONE INCOMPATIBILI",IF(AND(AG58&gt;0,AG58&lt;&gt;AF58),"PESI MANUALI SOLO SU ALCUNE RIGHE",IF(AND(J58&gt;0,NOT(AND(Procedura!$B$10="Lavori",OR(AC58=5,AC58=6)))),"RITARDO PROGETTAZIONE NON PERTINENTE",IF(AND(M58&gt;0,M58&lt;5%),"CARENZE INFERIORI AL 5%",IF(AND(OR(J58&gt;0,K58&gt;0,L58&gt;0,M58&gt;0,I58="Si"),N58=""),"MOTIVARE ESCLUSIONE O RIDUZIONE",IF(AND(G58&gt;0,H58="Da verificare"),"ATTESTAZIONE DA ACQUISIRE",IF(AND(G58&gt;0,H58="Si",N58=""),"INDICARE ATTI ATTIVITA","COERENTE"))))))))))))))</f>
        <v/>
      </c>
      <c r="AA58" s="2" t="str">
        <f t="shared" si="24"/>
        <v/>
      </c>
      <c r="AB58" s="2" t="str">
        <f>IF(A58="","",INDEX(Voci!$C$6:$C$24,MATCH(A58,Voci!$A$6:$A$24,0)))</f>
        <v/>
      </c>
      <c r="AC58" s="2">
        <f>IF(A58="",0,INDEX(Voci!$B$6:$B$24,MATCH(A58,Voci!$A$6:$A$24,0)))</f>
        <v>0</v>
      </c>
      <c r="AD58" s="2">
        <f t="shared" si="25"/>
        <v>0</v>
      </c>
      <c r="AE58" s="2">
        <f t="shared" si="26"/>
        <v>0</v>
      </c>
      <c r="AF58" s="2">
        <f t="shared" si="27"/>
        <v>0</v>
      </c>
      <c r="AG58" s="2">
        <f t="shared" si="28"/>
        <v>0</v>
      </c>
      <c r="AH58">
        <f t="shared" si="29"/>
        <v>0</v>
      </c>
    </row>
    <row r="59" spans="1:34" ht="24" customHeight="1">
      <c r="A59" s="5"/>
      <c r="B59" s="5"/>
      <c r="C59" s="5"/>
      <c r="D59" s="8"/>
      <c r="E59" s="10">
        <f>IF(OR(A59="",B59=""),0,IF(ISNUMBER(D59),D59,IF(OR(AND(Procedura!$B$10="Lavori",AC59=10),AND(Procedura!$B$10&lt;&gt;"Lavori",AC59=2)),IF(Procedura!$B$29="Si",IF(C59="RUP",IF(Procedura!$B$10="Lavori",20%,IF(Voci!$M$7&gt;0,(Voci!$J$7*(1-Procedura!$B$39)+(Voci!$J$7*Procedura!$B$39-Voci!$L$7)*20%)/Voci!$M$7,0)),IF(C59="Responsabile fase",IF(Procedura!$B$10="Lavori",80%,IF(Voci!$M$7&gt;0,(Voci!$J$7*Procedura!$B$39-Voci!$L$7)*80%/Voci!$M$7,0)),0)),IF(C59="RUP",1,0)),IF(IF(Procedura!$B$10="Lavori",OR(AC59=3,AC59=13),AC59=5),IF(C59="RUP",1,0),IF(IF(Procedura!$B$10="Lavori",OR(AC59=4,AC59=11,AC59=14),OR(AC59=3,AC59=6)),IF(AND(AD59&gt;0,AE59&gt;0),IF(OR(C59="Supporto",C59="Responsabile fase"),60%/AD59,IF(C59="Altro",40%/AE59,0)),IF(AF59&gt;0,1/AF59,0)),IF(AF59&gt;0,1/AF59,0))))))</f>
        <v>0</v>
      </c>
      <c r="F59" s="11">
        <f>IF(A59="",0,INDEX(Voci!$M$6:$M$24,MATCH(A59,Voci!$A$6:$A$24,0))*E59)</f>
        <v>0</v>
      </c>
      <c r="G59" s="11">
        <f>IF(A59="",0,INDEX(Voci!$O$6:$O$24,MATCH(A59,Voci!$A$6:$A$24,0))*E59)</f>
        <v>0</v>
      </c>
      <c r="H59" s="5" t="s">
        <v>60</v>
      </c>
      <c r="I59" s="5" t="s">
        <v>67</v>
      </c>
      <c r="J59" s="8">
        <v>0</v>
      </c>
      <c r="K59" s="8">
        <v>0</v>
      </c>
      <c r="L59" s="8">
        <v>0</v>
      </c>
      <c r="M59" s="8">
        <v>0</v>
      </c>
      <c r="N59" s="5"/>
      <c r="O59" s="10">
        <f t="shared" si="15"/>
        <v>0</v>
      </c>
      <c r="P59" s="10">
        <f t="shared" si="16"/>
        <v>0</v>
      </c>
      <c r="Q59" s="10">
        <f t="shared" si="17"/>
        <v>0</v>
      </c>
      <c r="R59" s="10">
        <f t="shared" si="18"/>
        <v>0</v>
      </c>
      <c r="S59" s="11">
        <f t="shared" si="19"/>
        <v>0</v>
      </c>
      <c r="T59" s="11">
        <f t="shared" si="20"/>
        <v>0</v>
      </c>
      <c r="U59" s="11">
        <f t="shared" si="21"/>
        <v>0</v>
      </c>
      <c r="V59" s="10">
        <f>IF(B59="",0,INDEX(Personale!$F$6:$F$25,MATCH(B59,Personale!$A$6:$A$25,0)))</f>
        <v>0</v>
      </c>
      <c r="W59" s="11">
        <f t="shared" si="22"/>
        <v>0</v>
      </c>
      <c r="X59" s="11">
        <f t="shared" si="23"/>
        <v>0</v>
      </c>
      <c r="Y59" s="11">
        <f>IF(B59="",0,W59*INDEX(Personale!$G$6:$G$25,MATCH(B59,Personale!$A$6:$A$25,0)))</f>
        <v>0</v>
      </c>
      <c r="Z59" s="2" t="str">
        <f>IF(AND(A59&lt;&gt;"",Procedura!$B$10&lt;&gt;"Lavori",AC59=7,B59=Procedura!$B$28),"DEC DEVE ESSERE DIVERSO DAL RUP",IF(AND(ISNUMBER(D59),OR(OR(AND(Procedura!$B$10="Lavori",AC59=10),AND(Procedura!$B$10&lt;&gt;"Lavori",AC59=2)),IF(Procedura!$B$10="Lavori",OR(AC59=3,AC59=13),AC59=5)),ABS(E59-IF(IF(Procedura!$B$10="Lavori",OR(AC59=3,AC59=13),AC59=5),1,IF(Procedura!$B$29="No",1,IF(C59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FISSO",IF(AND(A59="",B59=""),"",IF(OR(A59="",B59="",C59=""),"COMPLETARE VOCE PERSONA RUOLO",IF(COUNTIFS($AA$6:$AA$105,AA59)&gt;1,"PERSONA RIPETUTA NELLA VOCE",IF(INDEX(Voci!$F$6:$F$24,MATCH(A59,Voci!$A$6:$A$24,0))&lt;&gt;"Interna","VOCE NON INTERNA",IF(OR(AND(C59="RUP",B59&lt;&gt;Procedura!$B$28),AND(C59="Responsabile fase",OR(Procedura!$B$29&lt;&gt;"Si",B59&lt;&gt;Procedura!$B$30)),AND(OR(OR(AND(Procedura!$B$10="Lavori",AC59=10),AND(Procedura!$B$10&lt;&gt;"Lavori",AC59=2)),IF(Procedura!$B$10="Lavori",OR(AC59=3,AC59=13),AC59=5)),NOT(OR(C59="RUP",AND(OR(AND(Procedura!$B$10="Lavori",AC59=10),AND(Procedura!$B$10&lt;&gt;"Lavori",AC59=2)),C59="Responsabile fase",Procedura!$B$29="Si")))),AND(IF(Procedura!$B$10="Lavori",OR(AC59=4,AC59=11,AC59=14),OR(AC59=3,AC59=6)),NOT(OR(C59="Supporto",C59="Altro",C59="Responsabile fase")))),"RUOLO NON COERENTE",IF(AND(IF(Procedura!$B$10="Lavori",OR(AC59=4,AC59=11,AC59=14),OR(AC59=3,AC59=6)),B59=Procedura!$B$28),"RUP E COLLABORAZIONE INCOMPATIBILI",IF(AND(AG59&gt;0,AG59&lt;&gt;AF59),"PESI MANUALI SOLO SU ALCUNE RIGHE",IF(AND(J59&gt;0,NOT(AND(Procedura!$B$10="Lavori",OR(AC59=5,AC59=6)))),"RITARDO PROGETTAZIONE NON PERTINENTE",IF(AND(M59&gt;0,M59&lt;5%),"CARENZE INFERIORI AL 5%",IF(AND(OR(J59&gt;0,K59&gt;0,L59&gt;0,M59&gt;0,I59="Si"),N59=""),"MOTIVARE ESCLUSIONE O RIDUZIONE",IF(AND(G59&gt;0,H59="Da verificare"),"ATTESTAZIONE DA ACQUISIRE",IF(AND(G59&gt;0,H59="Si",N59=""),"INDICARE ATTI ATTIVITA","COERENTE"))))))))))))))</f>
        <v/>
      </c>
      <c r="AA59" s="2" t="str">
        <f t="shared" si="24"/>
        <v/>
      </c>
      <c r="AB59" s="2" t="str">
        <f>IF(A59="","",INDEX(Voci!$C$6:$C$24,MATCH(A59,Voci!$A$6:$A$24,0)))</f>
        <v/>
      </c>
      <c r="AC59" s="2">
        <f>IF(A59="",0,INDEX(Voci!$B$6:$B$24,MATCH(A59,Voci!$A$6:$A$24,0)))</f>
        <v>0</v>
      </c>
      <c r="AD59" s="2">
        <f t="shared" si="25"/>
        <v>0</v>
      </c>
      <c r="AE59" s="2">
        <f t="shared" si="26"/>
        <v>0</v>
      </c>
      <c r="AF59" s="2">
        <f t="shared" si="27"/>
        <v>0</v>
      </c>
      <c r="AG59" s="2">
        <f t="shared" si="28"/>
        <v>0</v>
      </c>
      <c r="AH59">
        <f t="shared" si="29"/>
        <v>0</v>
      </c>
    </row>
    <row r="60" spans="1:34" ht="24" customHeight="1">
      <c r="A60" s="5"/>
      <c r="B60" s="5"/>
      <c r="C60" s="5"/>
      <c r="D60" s="8"/>
      <c r="E60" s="10">
        <f>IF(OR(A60="",B60=""),0,IF(ISNUMBER(D60),D60,IF(OR(AND(Procedura!$B$10="Lavori",AC60=10),AND(Procedura!$B$10&lt;&gt;"Lavori",AC60=2)),IF(Procedura!$B$29="Si",IF(C60="RUP",IF(Procedura!$B$10="Lavori",20%,IF(Voci!$M$7&gt;0,(Voci!$J$7*(1-Procedura!$B$39)+(Voci!$J$7*Procedura!$B$39-Voci!$L$7)*20%)/Voci!$M$7,0)),IF(C60="Responsabile fase",IF(Procedura!$B$10="Lavori",80%,IF(Voci!$M$7&gt;0,(Voci!$J$7*Procedura!$B$39-Voci!$L$7)*80%/Voci!$M$7,0)),0)),IF(C60="RUP",1,0)),IF(IF(Procedura!$B$10="Lavori",OR(AC60=3,AC60=13),AC60=5),IF(C60="RUP",1,0),IF(IF(Procedura!$B$10="Lavori",OR(AC60=4,AC60=11,AC60=14),OR(AC60=3,AC60=6)),IF(AND(AD60&gt;0,AE60&gt;0),IF(OR(C60="Supporto",C60="Responsabile fase"),60%/AD60,IF(C60="Altro",40%/AE60,0)),IF(AF60&gt;0,1/AF60,0)),IF(AF60&gt;0,1/AF60,0))))))</f>
        <v>0</v>
      </c>
      <c r="F60" s="11">
        <f>IF(A60="",0,INDEX(Voci!$M$6:$M$24,MATCH(A60,Voci!$A$6:$A$24,0))*E60)</f>
        <v>0</v>
      </c>
      <c r="G60" s="11">
        <f>IF(A60="",0,INDEX(Voci!$O$6:$O$24,MATCH(A60,Voci!$A$6:$A$24,0))*E60)</f>
        <v>0</v>
      </c>
      <c r="H60" s="5" t="s">
        <v>60</v>
      </c>
      <c r="I60" s="5" t="s">
        <v>67</v>
      </c>
      <c r="J60" s="8">
        <v>0</v>
      </c>
      <c r="K60" s="8">
        <v>0</v>
      </c>
      <c r="L60" s="8">
        <v>0</v>
      </c>
      <c r="M60" s="8">
        <v>0</v>
      </c>
      <c r="N60" s="5"/>
      <c r="O60" s="10">
        <f t="shared" si="15"/>
        <v>0</v>
      </c>
      <c r="P60" s="10">
        <f t="shared" si="16"/>
        <v>0</v>
      </c>
      <c r="Q60" s="10">
        <f t="shared" si="17"/>
        <v>0</v>
      </c>
      <c r="R60" s="10">
        <f t="shared" si="18"/>
        <v>0</v>
      </c>
      <c r="S60" s="11">
        <f t="shared" si="19"/>
        <v>0</v>
      </c>
      <c r="T60" s="11">
        <f t="shared" si="20"/>
        <v>0</v>
      </c>
      <c r="U60" s="11">
        <f t="shared" si="21"/>
        <v>0</v>
      </c>
      <c r="V60" s="10">
        <f>IF(B60="",0,INDEX(Personale!$F$6:$F$25,MATCH(B60,Personale!$A$6:$A$25,0)))</f>
        <v>0</v>
      </c>
      <c r="W60" s="11">
        <f t="shared" si="22"/>
        <v>0</v>
      </c>
      <c r="X60" s="11">
        <f t="shared" si="23"/>
        <v>0</v>
      </c>
      <c r="Y60" s="11">
        <f>IF(B60="",0,W60*INDEX(Personale!$G$6:$G$25,MATCH(B60,Personale!$A$6:$A$25,0)))</f>
        <v>0</v>
      </c>
      <c r="Z60" s="2" t="str">
        <f>IF(AND(A60&lt;&gt;"",Procedura!$B$10&lt;&gt;"Lavori",AC60=7,B60=Procedura!$B$28),"DEC DEVE ESSERE DIVERSO DAL RUP",IF(AND(ISNUMBER(D60),OR(OR(AND(Procedura!$B$10="Lavori",AC60=10),AND(Procedura!$B$10&lt;&gt;"Lavori",AC60=2)),IF(Procedura!$B$10="Lavori",OR(AC60=3,AC60=13),AC60=5)),ABS(E60-IF(IF(Procedura!$B$10="Lavori",OR(AC60=3,AC60=13),AC60=5),1,IF(Procedura!$B$29="No",1,IF(C60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FISSO",IF(AND(A60="",B60=""),"",IF(OR(A60="",B60="",C60=""),"COMPLETARE VOCE PERSONA RUOLO",IF(COUNTIFS($AA$6:$AA$105,AA60)&gt;1,"PERSONA RIPETUTA NELLA VOCE",IF(INDEX(Voci!$F$6:$F$24,MATCH(A60,Voci!$A$6:$A$24,0))&lt;&gt;"Interna","VOCE NON INTERNA",IF(OR(AND(C60="RUP",B60&lt;&gt;Procedura!$B$28),AND(C60="Responsabile fase",OR(Procedura!$B$29&lt;&gt;"Si",B60&lt;&gt;Procedura!$B$30)),AND(OR(OR(AND(Procedura!$B$10="Lavori",AC60=10),AND(Procedura!$B$10&lt;&gt;"Lavori",AC60=2)),IF(Procedura!$B$10="Lavori",OR(AC60=3,AC60=13),AC60=5)),NOT(OR(C60="RUP",AND(OR(AND(Procedura!$B$10="Lavori",AC60=10),AND(Procedura!$B$10&lt;&gt;"Lavori",AC60=2)),C60="Responsabile fase",Procedura!$B$29="Si")))),AND(IF(Procedura!$B$10="Lavori",OR(AC60=4,AC60=11,AC60=14),OR(AC60=3,AC60=6)),NOT(OR(C60="Supporto",C60="Altro",C60="Responsabile fase")))),"RUOLO NON COERENTE",IF(AND(IF(Procedura!$B$10="Lavori",OR(AC60=4,AC60=11,AC60=14),OR(AC60=3,AC60=6)),B60=Procedura!$B$28),"RUP E COLLABORAZIONE INCOMPATIBILI",IF(AND(AG60&gt;0,AG60&lt;&gt;AF60),"PESI MANUALI SOLO SU ALCUNE RIGHE",IF(AND(J60&gt;0,NOT(AND(Procedura!$B$10="Lavori",OR(AC60=5,AC60=6)))),"RITARDO PROGETTAZIONE NON PERTINENTE",IF(AND(M60&gt;0,M60&lt;5%),"CARENZE INFERIORI AL 5%",IF(AND(OR(J60&gt;0,K60&gt;0,L60&gt;0,M60&gt;0,I60="Si"),N60=""),"MOTIVARE ESCLUSIONE O RIDUZIONE",IF(AND(G60&gt;0,H60="Da verificare"),"ATTESTAZIONE DA ACQUISIRE",IF(AND(G60&gt;0,H60="Si",N60=""),"INDICARE ATTI ATTIVITA","COERENTE"))))))))))))))</f>
        <v/>
      </c>
      <c r="AA60" s="2" t="str">
        <f t="shared" si="24"/>
        <v/>
      </c>
      <c r="AB60" s="2" t="str">
        <f>IF(A60="","",INDEX(Voci!$C$6:$C$24,MATCH(A60,Voci!$A$6:$A$24,0)))</f>
        <v/>
      </c>
      <c r="AC60" s="2">
        <f>IF(A60="",0,INDEX(Voci!$B$6:$B$24,MATCH(A60,Voci!$A$6:$A$24,0)))</f>
        <v>0</v>
      </c>
      <c r="AD60" s="2">
        <f t="shared" si="25"/>
        <v>0</v>
      </c>
      <c r="AE60" s="2">
        <f t="shared" si="26"/>
        <v>0</v>
      </c>
      <c r="AF60" s="2">
        <f t="shared" si="27"/>
        <v>0</v>
      </c>
      <c r="AG60" s="2">
        <f t="shared" si="28"/>
        <v>0</v>
      </c>
      <c r="AH60">
        <f t="shared" si="29"/>
        <v>0</v>
      </c>
    </row>
    <row r="61" spans="1:34" ht="24" customHeight="1">
      <c r="A61" s="5"/>
      <c r="B61" s="5"/>
      <c r="C61" s="5"/>
      <c r="D61" s="8"/>
      <c r="E61" s="10">
        <f>IF(OR(A61="",B61=""),0,IF(ISNUMBER(D61),D61,IF(OR(AND(Procedura!$B$10="Lavori",AC61=10),AND(Procedura!$B$10&lt;&gt;"Lavori",AC61=2)),IF(Procedura!$B$29="Si",IF(C61="RUP",IF(Procedura!$B$10="Lavori",20%,IF(Voci!$M$7&gt;0,(Voci!$J$7*(1-Procedura!$B$39)+(Voci!$J$7*Procedura!$B$39-Voci!$L$7)*20%)/Voci!$M$7,0)),IF(C61="Responsabile fase",IF(Procedura!$B$10="Lavori",80%,IF(Voci!$M$7&gt;0,(Voci!$J$7*Procedura!$B$39-Voci!$L$7)*80%/Voci!$M$7,0)),0)),IF(C61="RUP",1,0)),IF(IF(Procedura!$B$10="Lavori",OR(AC61=3,AC61=13),AC61=5),IF(C61="RUP",1,0),IF(IF(Procedura!$B$10="Lavori",OR(AC61=4,AC61=11,AC61=14),OR(AC61=3,AC61=6)),IF(AND(AD61&gt;0,AE61&gt;0),IF(OR(C61="Supporto",C61="Responsabile fase"),60%/AD61,IF(C61="Altro",40%/AE61,0)),IF(AF61&gt;0,1/AF61,0)),IF(AF61&gt;0,1/AF61,0))))))</f>
        <v>0</v>
      </c>
      <c r="F61" s="11">
        <f>IF(A61="",0,INDEX(Voci!$M$6:$M$24,MATCH(A61,Voci!$A$6:$A$24,0))*E61)</f>
        <v>0</v>
      </c>
      <c r="G61" s="11">
        <f>IF(A61="",0,INDEX(Voci!$O$6:$O$24,MATCH(A61,Voci!$A$6:$A$24,0))*E61)</f>
        <v>0</v>
      </c>
      <c r="H61" s="5" t="s">
        <v>60</v>
      </c>
      <c r="I61" s="5" t="s">
        <v>67</v>
      </c>
      <c r="J61" s="8">
        <v>0</v>
      </c>
      <c r="K61" s="8">
        <v>0</v>
      </c>
      <c r="L61" s="8">
        <v>0</v>
      </c>
      <c r="M61" s="8">
        <v>0</v>
      </c>
      <c r="N61" s="5"/>
      <c r="O61" s="10">
        <f t="shared" si="15"/>
        <v>0</v>
      </c>
      <c r="P61" s="10">
        <f t="shared" si="16"/>
        <v>0</v>
      </c>
      <c r="Q61" s="10">
        <f t="shared" si="17"/>
        <v>0</v>
      </c>
      <c r="R61" s="10">
        <f t="shared" si="18"/>
        <v>0</v>
      </c>
      <c r="S61" s="11">
        <f t="shared" si="19"/>
        <v>0</v>
      </c>
      <c r="T61" s="11">
        <f t="shared" si="20"/>
        <v>0</v>
      </c>
      <c r="U61" s="11">
        <f t="shared" si="21"/>
        <v>0</v>
      </c>
      <c r="V61" s="10">
        <f>IF(B61="",0,INDEX(Personale!$F$6:$F$25,MATCH(B61,Personale!$A$6:$A$25,0)))</f>
        <v>0</v>
      </c>
      <c r="W61" s="11">
        <f t="shared" si="22"/>
        <v>0</v>
      </c>
      <c r="X61" s="11">
        <f t="shared" si="23"/>
        <v>0</v>
      </c>
      <c r="Y61" s="11">
        <f>IF(B61="",0,W61*INDEX(Personale!$G$6:$G$25,MATCH(B61,Personale!$A$6:$A$25,0)))</f>
        <v>0</v>
      </c>
      <c r="Z61" s="2" t="str">
        <f>IF(AND(A61&lt;&gt;"",Procedura!$B$10&lt;&gt;"Lavori",AC61=7,B61=Procedura!$B$28),"DEC DEVE ESSERE DIVERSO DAL RUP",IF(AND(ISNUMBER(D61),OR(OR(AND(Procedura!$B$10="Lavori",AC61=10),AND(Procedura!$B$10&lt;&gt;"Lavori",AC61=2)),IF(Procedura!$B$10="Lavori",OR(AC61=3,AC61=13),AC61=5)),ABS(E61-IF(IF(Procedura!$B$10="Lavori",OR(AC61=3,AC61=13),AC61=5),1,IF(Procedura!$B$29="No",1,IF(C61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FISSO",IF(AND(A61="",B61=""),"",IF(OR(A61="",B61="",C61=""),"COMPLETARE VOCE PERSONA RUOLO",IF(COUNTIFS($AA$6:$AA$105,AA61)&gt;1,"PERSONA RIPETUTA NELLA VOCE",IF(INDEX(Voci!$F$6:$F$24,MATCH(A61,Voci!$A$6:$A$24,0))&lt;&gt;"Interna","VOCE NON INTERNA",IF(OR(AND(C61="RUP",B61&lt;&gt;Procedura!$B$28),AND(C61="Responsabile fase",OR(Procedura!$B$29&lt;&gt;"Si",B61&lt;&gt;Procedura!$B$30)),AND(OR(OR(AND(Procedura!$B$10="Lavori",AC61=10),AND(Procedura!$B$10&lt;&gt;"Lavori",AC61=2)),IF(Procedura!$B$10="Lavori",OR(AC61=3,AC61=13),AC61=5)),NOT(OR(C61="RUP",AND(OR(AND(Procedura!$B$10="Lavori",AC61=10),AND(Procedura!$B$10&lt;&gt;"Lavori",AC61=2)),C61="Responsabile fase",Procedura!$B$29="Si")))),AND(IF(Procedura!$B$10="Lavori",OR(AC61=4,AC61=11,AC61=14),OR(AC61=3,AC61=6)),NOT(OR(C61="Supporto",C61="Altro",C61="Responsabile fase")))),"RUOLO NON COERENTE",IF(AND(IF(Procedura!$B$10="Lavori",OR(AC61=4,AC61=11,AC61=14),OR(AC61=3,AC61=6)),B61=Procedura!$B$28),"RUP E COLLABORAZIONE INCOMPATIBILI",IF(AND(AG61&gt;0,AG61&lt;&gt;AF61),"PESI MANUALI SOLO SU ALCUNE RIGHE",IF(AND(J61&gt;0,NOT(AND(Procedura!$B$10="Lavori",OR(AC61=5,AC61=6)))),"RITARDO PROGETTAZIONE NON PERTINENTE",IF(AND(M61&gt;0,M61&lt;5%),"CARENZE INFERIORI AL 5%",IF(AND(OR(J61&gt;0,K61&gt;0,L61&gt;0,M61&gt;0,I61="Si"),N61=""),"MOTIVARE ESCLUSIONE O RIDUZIONE",IF(AND(G61&gt;0,H61="Da verificare"),"ATTESTAZIONE DA ACQUISIRE",IF(AND(G61&gt;0,H61="Si",N61=""),"INDICARE ATTI ATTIVITA","COERENTE"))))))))))))))</f>
        <v/>
      </c>
      <c r="AA61" s="2" t="str">
        <f t="shared" si="24"/>
        <v/>
      </c>
      <c r="AB61" s="2" t="str">
        <f>IF(A61="","",INDEX(Voci!$C$6:$C$24,MATCH(A61,Voci!$A$6:$A$24,0)))</f>
        <v/>
      </c>
      <c r="AC61" s="2">
        <f>IF(A61="",0,INDEX(Voci!$B$6:$B$24,MATCH(A61,Voci!$A$6:$A$24,0)))</f>
        <v>0</v>
      </c>
      <c r="AD61" s="2">
        <f t="shared" si="25"/>
        <v>0</v>
      </c>
      <c r="AE61" s="2">
        <f t="shared" si="26"/>
        <v>0</v>
      </c>
      <c r="AF61" s="2">
        <f t="shared" si="27"/>
        <v>0</v>
      </c>
      <c r="AG61" s="2">
        <f t="shared" si="28"/>
        <v>0</v>
      </c>
      <c r="AH61">
        <f t="shared" si="29"/>
        <v>0</v>
      </c>
    </row>
    <row r="62" spans="1:34" ht="24" customHeight="1">
      <c r="A62" s="5"/>
      <c r="B62" s="5"/>
      <c r="C62" s="5"/>
      <c r="D62" s="8"/>
      <c r="E62" s="10">
        <f>IF(OR(A62="",B62=""),0,IF(ISNUMBER(D62),D62,IF(OR(AND(Procedura!$B$10="Lavori",AC62=10),AND(Procedura!$B$10&lt;&gt;"Lavori",AC62=2)),IF(Procedura!$B$29="Si",IF(C62="RUP",IF(Procedura!$B$10="Lavori",20%,IF(Voci!$M$7&gt;0,(Voci!$J$7*(1-Procedura!$B$39)+(Voci!$J$7*Procedura!$B$39-Voci!$L$7)*20%)/Voci!$M$7,0)),IF(C62="Responsabile fase",IF(Procedura!$B$10="Lavori",80%,IF(Voci!$M$7&gt;0,(Voci!$J$7*Procedura!$B$39-Voci!$L$7)*80%/Voci!$M$7,0)),0)),IF(C62="RUP",1,0)),IF(IF(Procedura!$B$10="Lavori",OR(AC62=3,AC62=13),AC62=5),IF(C62="RUP",1,0),IF(IF(Procedura!$B$10="Lavori",OR(AC62=4,AC62=11,AC62=14),OR(AC62=3,AC62=6)),IF(AND(AD62&gt;0,AE62&gt;0),IF(OR(C62="Supporto",C62="Responsabile fase"),60%/AD62,IF(C62="Altro",40%/AE62,0)),IF(AF62&gt;0,1/AF62,0)),IF(AF62&gt;0,1/AF62,0))))))</f>
        <v>0</v>
      </c>
      <c r="F62" s="11">
        <f>IF(A62="",0,INDEX(Voci!$M$6:$M$24,MATCH(A62,Voci!$A$6:$A$24,0))*E62)</f>
        <v>0</v>
      </c>
      <c r="G62" s="11">
        <f>IF(A62="",0,INDEX(Voci!$O$6:$O$24,MATCH(A62,Voci!$A$6:$A$24,0))*E62)</f>
        <v>0</v>
      </c>
      <c r="H62" s="5" t="s">
        <v>60</v>
      </c>
      <c r="I62" s="5" t="s">
        <v>67</v>
      </c>
      <c r="J62" s="8">
        <v>0</v>
      </c>
      <c r="K62" s="8">
        <v>0</v>
      </c>
      <c r="L62" s="8">
        <v>0</v>
      </c>
      <c r="M62" s="8">
        <v>0</v>
      </c>
      <c r="N62" s="5"/>
      <c r="O62" s="10">
        <f t="shared" si="15"/>
        <v>0</v>
      </c>
      <c r="P62" s="10">
        <f t="shared" si="16"/>
        <v>0</v>
      </c>
      <c r="Q62" s="10">
        <f t="shared" si="17"/>
        <v>0</v>
      </c>
      <c r="R62" s="10">
        <f t="shared" si="18"/>
        <v>0</v>
      </c>
      <c r="S62" s="11">
        <f t="shared" si="19"/>
        <v>0</v>
      </c>
      <c r="T62" s="11">
        <f t="shared" si="20"/>
        <v>0</v>
      </c>
      <c r="U62" s="11">
        <f t="shared" si="21"/>
        <v>0</v>
      </c>
      <c r="V62" s="10">
        <f>IF(B62="",0,INDEX(Personale!$F$6:$F$25,MATCH(B62,Personale!$A$6:$A$25,0)))</f>
        <v>0</v>
      </c>
      <c r="W62" s="11">
        <f t="shared" si="22"/>
        <v>0</v>
      </c>
      <c r="X62" s="11">
        <f t="shared" si="23"/>
        <v>0</v>
      </c>
      <c r="Y62" s="11">
        <f>IF(B62="",0,W62*INDEX(Personale!$G$6:$G$25,MATCH(B62,Personale!$A$6:$A$25,0)))</f>
        <v>0</v>
      </c>
      <c r="Z62" s="2" t="str">
        <f>IF(AND(A62&lt;&gt;"",Procedura!$B$10&lt;&gt;"Lavori",AC62=7,B62=Procedura!$B$28),"DEC DEVE ESSERE DIVERSO DAL RUP",IF(AND(ISNUMBER(D62),OR(OR(AND(Procedura!$B$10="Lavori",AC62=10),AND(Procedura!$B$10&lt;&gt;"Lavori",AC62=2)),IF(Procedura!$B$10="Lavori",OR(AC62=3,AC62=13),AC62=5)),ABS(E62-IF(IF(Procedura!$B$10="Lavori",OR(AC62=3,AC62=13),AC62=5),1,IF(Procedura!$B$29="No",1,IF(C62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FISSO",IF(AND(A62="",B62=""),"",IF(OR(A62="",B62="",C62=""),"COMPLETARE VOCE PERSONA RUOLO",IF(COUNTIFS($AA$6:$AA$105,AA62)&gt;1,"PERSONA RIPETUTA NELLA VOCE",IF(INDEX(Voci!$F$6:$F$24,MATCH(A62,Voci!$A$6:$A$24,0))&lt;&gt;"Interna","VOCE NON INTERNA",IF(OR(AND(C62="RUP",B62&lt;&gt;Procedura!$B$28),AND(C62="Responsabile fase",OR(Procedura!$B$29&lt;&gt;"Si",B62&lt;&gt;Procedura!$B$30)),AND(OR(OR(AND(Procedura!$B$10="Lavori",AC62=10),AND(Procedura!$B$10&lt;&gt;"Lavori",AC62=2)),IF(Procedura!$B$10="Lavori",OR(AC62=3,AC62=13),AC62=5)),NOT(OR(C62="RUP",AND(OR(AND(Procedura!$B$10="Lavori",AC62=10),AND(Procedura!$B$10&lt;&gt;"Lavori",AC62=2)),C62="Responsabile fase",Procedura!$B$29="Si")))),AND(IF(Procedura!$B$10="Lavori",OR(AC62=4,AC62=11,AC62=14),OR(AC62=3,AC62=6)),NOT(OR(C62="Supporto",C62="Altro",C62="Responsabile fase")))),"RUOLO NON COERENTE",IF(AND(IF(Procedura!$B$10="Lavori",OR(AC62=4,AC62=11,AC62=14),OR(AC62=3,AC62=6)),B62=Procedura!$B$28),"RUP E COLLABORAZIONE INCOMPATIBILI",IF(AND(AG62&gt;0,AG62&lt;&gt;AF62),"PESI MANUALI SOLO SU ALCUNE RIGHE",IF(AND(J62&gt;0,NOT(AND(Procedura!$B$10="Lavori",OR(AC62=5,AC62=6)))),"RITARDO PROGETTAZIONE NON PERTINENTE",IF(AND(M62&gt;0,M62&lt;5%),"CARENZE INFERIORI AL 5%",IF(AND(OR(J62&gt;0,K62&gt;0,L62&gt;0,M62&gt;0,I62="Si"),N62=""),"MOTIVARE ESCLUSIONE O RIDUZIONE",IF(AND(G62&gt;0,H62="Da verificare"),"ATTESTAZIONE DA ACQUISIRE",IF(AND(G62&gt;0,H62="Si",N62=""),"INDICARE ATTI ATTIVITA","COERENTE"))))))))))))))</f>
        <v/>
      </c>
      <c r="AA62" s="2" t="str">
        <f t="shared" si="24"/>
        <v/>
      </c>
      <c r="AB62" s="2" t="str">
        <f>IF(A62="","",INDEX(Voci!$C$6:$C$24,MATCH(A62,Voci!$A$6:$A$24,0)))</f>
        <v/>
      </c>
      <c r="AC62" s="2">
        <f>IF(A62="",0,INDEX(Voci!$B$6:$B$24,MATCH(A62,Voci!$A$6:$A$24,0)))</f>
        <v>0</v>
      </c>
      <c r="AD62" s="2">
        <f t="shared" si="25"/>
        <v>0</v>
      </c>
      <c r="AE62" s="2">
        <f t="shared" si="26"/>
        <v>0</v>
      </c>
      <c r="AF62" s="2">
        <f t="shared" si="27"/>
        <v>0</v>
      </c>
      <c r="AG62" s="2">
        <f t="shared" si="28"/>
        <v>0</v>
      </c>
      <c r="AH62">
        <f t="shared" si="29"/>
        <v>0</v>
      </c>
    </row>
    <row r="63" spans="1:34" ht="24" customHeight="1">
      <c r="A63" s="5"/>
      <c r="B63" s="5"/>
      <c r="C63" s="5"/>
      <c r="D63" s="8"/>
      <c r="E63" s="10">
        <f>IF(OR(A63="",B63=""),0,IF(ISNUMBER(D63),D63,IF(OR(AND(Procedura!$B$10="Lavori",AC63=10),AND(Procedura!$B$10&lt;&gt;"Lavori",AC63=2)),IF(Procedura!$B$29="Si",IF(C63="RUP",IF(Procedura!$B$10="Lavori",20%,IF(Voci!$M$7&gt;0,(Voci!$J$7*(1-Procedura!$B$39)+(Voci!$J$7*Procedura!$B$39-Voci!$L$7)*20%)/Voci!$M$7,0)),IF(C63="Responsabile fase",IF(Procedura!$B$10="Lavori",80%,IF(Voci!$M$7&gt;0,(Voci!$J$7*Procedura!$B$39-Voci!$L$7)*80%/Voci!$M$7,0)),0)),IF(C63="RUP",1,0)),IF(IF(Procedura!$B$10="Lavori",OR(AC63=3,AC63=13),AC63=5),IF(C63="RUP",1,0),IF(IF(Procedura!$B$10="Lavori",OR(AC63=4,AC63=11,AC63=14),OR(AC63=3,AC63=6)),IF(AND(AD63&gt;0,AE63&gt;0),IF(OR(C63="Supporto",C63="Responsabile fase"),60%/AD63,IF(C63="Altro",40%/AE63,0)),IF(AF63&gt;0,1/AF63,0)),IF(AF63&gt;0,1/AF63,0))))))</f>
        <v>0</v>
      </c>
      <c r="F63" s="11">
        <f>IF(A63="",0,INDEX(Voci!$M$6:$M$24,MATCH(A63,Voci!$A$6:$A$24,0))*E63)</f>
        <v>0</v>
      </c>
      <c r="G63" s="11">
        <f>IF(A63="",0,INDEX(Voci!$O$6:$O$24,MATCH(A63,Voci!$A$6:$A$24,0))*E63)</f>
        <v>0</v>
      </c>
      <c r="H63" s="5" t="s">
        <v>60</v>
      </c>
      <c r="I63" s="5" t="s">
        <v>67</v>
      </c>
      <c r="J63" s="8">
        <v>0</v>
      </c>
      <c r="K63" s="8">
        <v>0</v>
      </c>
      <c r="L63" s="8">
        <v>0</v>
      </c>
      <c r="M63" s="8">
        <v>0</v>
      </c>
      <c r="N63" s="5"/>
      <c r="O63" s="10">
        <f t="shared" si="15"/>
        <v>0</v>
      </c>
      <c r="P63" s="10">
        <f t="shared" si="16"/>
        <v>0</v>
      </c>
      <c r="Q63" s="10">
        <f t="shared" si="17"/>
        <v>0</v>
      </c>
      <c r="R63" s="10">
        <f t="shared" si="18"/>
        <v>0</v>
      </c>
      <c r="S63" s="11">
        <f t="shared" si="19"/>
        <v>0</v>
      </c>
      <c r="T63" s="11">
        <f t="shared" si="20"/>
        <v>0</v>
      </c>
      <c r="U63" s="11">
        <f t="shared" si="21"/>
        <v>0</v>
      </c>
      <c r="V63" s="10">
        <f>IF(B63="",0,INDEX(Personale!$F$6:$F$25,MATCH(B63,Personale!$A$6:$A$25,0)))</f>
        <v>0</v>
      </c>
      <c r="W63" s="11">
        <f t="shared" si="22"/>
        <v>0</v>
      </c>
      <c r="X63" s="11">
        <f t="shared" si="23"/>
        <v>0</v>
      </c>
      <c r="Y63" s="11">
        <f>IF(B63="",0,W63*INDEX(Personale!$G$6:$G$25,MATCH(B63,Personale!$A$6:$A$25,0)))</f>
        <v>0</v>
      </c>
      <c r="Z63" s="2" t="str">
        <f>IF(AND(A63&lt;&gt;"",Procedura!$B$10&lt;&gt;"Lavori",AC63=7,B63=Procedura!$B$28),"DEC DEVE ESSERE DIVERSO DAL RUP",IF(AND(ISNUMBER(D63),OR(OR(AND(Procedura!$B$10="Lavori",AC63=10),AND(Procedura!$B$10&lt;&gt;"Lavori",AC63=2)),IF(Procedura!$B$10="Lavori",OR(AC63=3,AC63=13),AC63=5)),ABS(E63-IF(IF(Procedura!$B$10="Lavori",OR(AC63=3,AC63=13),AC63=5),1,IF(Procedura!$B$29="No",1,IF(C63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FISSO",IF(AND(A63="",B63=""),"",IF(OR(A63="",B63="",C63=""),"COMPLETARE VOCE PERSONA RUOLO",IF(COUNTIFS($AA$6:$AA$105,AA63)&gt;1,"PERSONA RIPETUTA NELLA VOCE",IF(INDEX(Voci!$F$6:$F$24,MATCH(A63,Voci!$A$6:$A$24,0))&lt;&gt;"Interna","VOCE NON INTERNA",IF(OR(AND(C63="RUP",B63&lt;&gt;Procedura!$B$28),AND(C63="Responsabile fase",OR(Procedura!$B$29&lt;&gt;"Si",B63&lt;&gt;Procedura!$B$30)),AND(OR(OR(AND(Procedura!$B$10="Lavori",AC63=10),AND(Procedura!$B$10&lt;&gt;"Lavori",AC63=2)),IF(Procedura!$B$10="Lavori",OR(AC63=3,AC63=13),AC63=5)),NOT(OR(C63="RUP",AND(OR(AND(Procedura!$B$10="Lavori",AC63=10),AND(Procedura!$B$10&lt;&gt;"Lavori",AC63=2)),C63="Responsabile fase",Procedura!$B$29="Si")))),AND(IF(Procedura!$B$10="Lavori",OR(AC63=4,AC63=11,AC63=14),OR(AC63=3,AC63=6)),NOT(OR(C63="Supporto",C63="Altro",C63="Responsabile fase")))),"RUOLO NON COERENTE",IF(AND(IF(Procedura!$B$10="Lavori",OR(AC63=4,AC63=11,AC63=14),OR(AC63=3,AC63=6)),B63=Procedura!$B$28),"RUP E COLLABORAZIONE INCOMPATIBILI",IF(AND(AG63&gt;0,AG63&lt;&gt;AF63),"PESI MANUALI SOLO SU ALCUNE RIGHE",IF(AND(J63&gt;0,NOT(AND(Procedura!$B$10="Lavori",OR(AC63=5,AC63=6)))),"RITARDO PROGETTAZIONE NON PERTINENTE",IF(AND(M63&gt;0,M63&lt;5%),"CARENZE INFERIORI AL 5%",IF(AND(OR(J63&gt;0,K63&gt;0,L63&gt;0,M63&gt;0,I63="Si"),N63=""),"MOTIVARE ESCLUSIONE O RIDUZIONE",IF(AND(G63&gt;0,H63="Da verificare"),"ATTESTAZIONE DA ACQUISIRE",IF(AND(G63&gt;0,H63="Si",N63=""),"INDICARE ATTI ATTIVITA","COERENTE"))))))))))))))</f>
        <v/>
      </c>
      <c r="AA63" s="2" t="str">
        <f t="shared" si="24"/>
        <v/>
      </c>
      <c r="AB63" s="2" t="str">
        <f>IF(A63="","",INDEX(Voci!$C$6:$C$24,MATCH(A63,Voci!$A$6:$A$24,0)))</f>
        <v/>
      </c>
      <c r="AC63" s="2">
        <f>IF(A63="",0,INDEX(Voci!$B$6:$B$24,MATCH(A63,Voci!$A$6:$A$24,0)))</f>
        <v>0</v>
      </c>
      <c r="AD63" s="2">
        <f t="shared" si="25"/>
        <v>0</v>
      </c>
      <c r="AE63" s="2">
        <f t="shared" si="26"/>
        <v>0</v>
      </c>
      <c r="AF63" s="2">
        <f t="shared" si="27"/>
        <v>0</v>
      </c>
      <c r="AG63" s="2">
        <f t="shared" si="28"/>
        <v>0</v>
      </c>
      <c r="AH63">
        <f t="shared" si="29"/>
        <v>0</v>
      </c>
    </row>
    <row r="64" spans="1:34" ht="24" customHeight="1">
      <c r="A64" s="5"/>
      <c r="B64" s="5"/>
      <c r="C64" s="5"/>
      <c r="D64" s="8"/>
      <c r="E64" s="10">
        <f>IF(OR(A64="",B64=""),0,IF(ISNUMBER(D64),D64,IF(OR(AND(Procedura!$B$10="Lavori",AC64=10),AND(Procedura!$B$10&lt;&gt;"Lavori",AC64=2)),IF(Procedura!$B$29="Si",IF(C64="RUP",IF(Procedura!$B$10="Lavori",20%,IF(Voci!$M$7&gt;0,(Voci!$J$7*(1-Procedura!$B$39)+(Voci!$J$7*Procedura!$B$39-Voci!$L$7)*20%)/Voci!$M$7,0)),IF(C64="Responsabile fase",IF(Procedura!$B$10="Lavori",80%,IF(Voci!$M$7&gt;0,(Voci!$J$7*Procedura!$B$39-Voci!$L$7)*80%/Voci!$M$7,0)),0)),IF(C64="RUP",1,0)),IF(IF(Procedura!$B$10="Lavori",OR(AC64=3,AC64=13),AC64=5),IF(C64="RUP",1,0),IF(IF(Procedura!$B$10="Lavori",OR(AC64=4,AC64=11,AC64=14),OR(AC64=3,AC64=6)),IF(AND(AD64&gt;0,AE64&gt;0),IF(OR(C64="Supporto",C64="Responsabile fase"),60%/AD64,IF(C64="Altro",40%/AE64,0)),IF(AF64&gt;0,1/AF64,0)),IF(AF64&gt;0,1/AF64,0))))))</f>
        <v>0</v>
      </c>
      <c r="F64" s="11">
        <f>IF(A64="",0,INDEX(Voci!$M$6:$M$24,MATCH(A64,Voci!$A$6:$A$24,0))*E64)</f>
        <v>0</v>
      </c>
      <c r="G64" s="11">
        <f>IF(A64="",0,INDEX(Voci!$O$6:$O$24,MATCH(A64,Voci!$A$6:$A$24,0))*E64)</f>
        <v>0</v>
      </c>
      <c r="H64" s="5" t="s">
        <v>60</v>
      </c>
      <c r="I64" s="5" t="s">
        <v>67</v>
      </c>
      <c r="J64" s="8">
        <v>0</v>
      </c>
      <c r="K64" s="8">
        <v>0</v>
      </c>
      <c r="L64" s="8">
        <v>0</v>
      </c>
      <c r="M64" s="8">
        <v>0</v>
      </c>
      <c r="N64" s="5"/>
      <c r="O64" s="10">
        <f t="shared" si="15"/>
        <v>0</v>
      </c>
      <c r="P64" s="10">
        <f t="shared" si="16"/>
        <v>0</v>
      </c>
      <c r="Q64" s="10">
        <f t="shared" si="17"/>
        <v>0</v>
      </c>
      <c r="R64" s="10">
        <f t="shared" si="18"/>
        <v>0</v>
      </c>
      <c r="S64" s="11">
        <f t="shared" si="19"/>
        <v>0</v>
      </c>
      <c r="T64" s="11">
        <f t="shared" si="20"/>
        <v>0</v>
      </c>
      <c r="U64" s="11">
        <f t="shared" si="21"/>
        <v>0</v>
      </c>
      <c r="V64" s="10">
        <f>IF(B64="",0,INDEX(Personale!$F$6:$F$25,MATCH(B64,Personale!$A$6:$A$25,0)))</f>
        <v>0</v>
      </c>
      <c r="W64" s="11">
        <f t="shared" si="22"/>
        <v>0</v>
      </c>
      <c r="X64" s="11">
        <f t="shared" si="23"/>
        <v>0</v>
      </c>
      <c r="Y64" s="11">
        <f>IF(B64="",0,W64*INDEX(Personale!$G$6:$G$25,MATCH(B64,Personale!$A$6:$A$25,0)))</f>
        <v>0</v>
      </c>
      <c r="Z64" s="2" t="str">
        <f>IF(AND(A64&lt;&gt;"",Procedura!$B$10&lt;&gt;"Lavori",AC64=7,B64=Procedura!$B$28),"DEC DEVE ESSERE DIVERSO DAL RUP",IF(AND(ISNUMBER(D64),OR(OR(AND(Procedura!$B$10="Lavori",AC64=10),AND(Procedura!$B$10&lt;&gt;"Lavori",AC64=2)),IF(Procedura!$B$10="Lavori",OR(AC64=3,AC64=13),AC64=5)),ABS(E64-IF(IF(Procedura!$B$10="Lavori",OR(AC64=3,AC64=13),AC64=5),1,IF(Procedura!$B$29="No",1,IF(C64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FISSO",IF(AND(A64="",B64=""),"",IF(OR(A64="",B64="",C64=""),"COMPLETARE VOCE PERSONA RUOLO",IF(COUNTIFS($AA$6:$AA$105,AA64)&gt;1,"PERSONA RIPETUTA NELLA VOCE",IF(INDEX(Voci!$F$6:$F$24,MATCH(A64,Voci!$A$6:$A$24,0))&lt;&gt;"Interna","VOCE NON INTERNA",IF(OR(AND(C64="RUP",B64&lt;&gt;Procedura!$B$28),AND(C64="Responsabile fase",OR(Procedura!$B$29&lt;&gt;"Si",B64&lt;&gt;Procedura!$B$30)),AND(OR(OR(AND(Procedura!$B$10="Lavori",AC64=10),AND(Procedura!$B$10&lt;&gt;"Lavori",AC64=2)),IF(Procedura!$B$10="Lavori",OR(AC64=3,AC64=13),AC64=5)),NOT(OR(C64="RUP",AND(OR(AND(Procedura!$B$10="Lavori",AC64=10),AND(Procedura!$B$10&lt;&gt;"Lavori",AC64=2)),C64="Responsabile fase",Procedura!$B$29="Si")))),AND(IF(Procedura!$B$10="Lavori",OR(AC64=4,AC64=11,AC64=14),OR(AC64=3,AC64=6)),NOT(OR(C64="Supporto",C64="Altro",C64="Responsabile fase")))),"RUOLO NON COERENTE",IF(AND(IF(Procedura!$B$10="Lavori",OR(AC64=4,AC64=11,AC64=14),OR(AC64=3,AC64=6)),B64=Procedura!$B$28),"RUP E COLLABORAZIONE INCOMPATIBILI",IF(AND(AG64&gt;0,AG64&lt;&gt;AF64),"PESI MANUALI SOLO SU ALCUNE RIGHE",IF(AND(J64&gt;0,NOT(AND(Procedura!$B$10="Lavori",OR(AC64=5,AC64=6)))),"RITARDO PROGETTAZIONE NON PERTINENTE",IF(AND(M64&gt;0,M64&lt;5%),"CARENZE INFERIORI AL 5%",IF(AND(OR(J64&gt;0,K64&gt;0,L64&gt;0,M64&gt;0,I64="Si"),N64=""),"MOTIVARE ESCLUSIONE O RIDUZIONE",IF(AND(G64&gt;0,H64="Da verificare"),"ATTESTAZIONE DA ACQUISIRE",IF(AND(G64&gt;0,H64="Si",N64=""),"INDICARE ATTI ATTIVITA","COERENTE"))))))))))))))</f>
        <v/>
      </c>
      <c r="AA64" s="2" t="str">
        <f t="shared" si="24"/>
        <v/>
      </c>
      <c r="AB64" s="2" t="str">
        <f>IF(A64="","",INDEX(Voci!$C$6:$C$24,MATCH(A64,Voci!$A$6:$A$24,0)))</f>
        <v/>
      </c>
      <c r="AC64" s="2">
        <f>IF(A64="",0,INDEX(Voci!$B$6:$B$24,MATCH(A64,Voci!$A$6:$A$24,0)))</f>
        <v>0</v>
      </c>
      <c r="AD64" s="2">
        <f t="shared" si="25"/>
        <v>0</v>
      </c>
      <c r="AE64" s="2">
        <f t="shared" si="26"/>
        <v>0</v>
      </c>
      <c r="AF64" s="2">
        <f t="shared" si="27"/>
        <v>0</v>
      </c>
      <c r="AG64" s="2">
        <f t="shared" si="28"/>
        <v>0</v>
      </c>
      <c r="AH64">
        <f t="shared" si="29"/>
        <v>0</v>
      </c>
    </row>
    <row r="65" spans="1:34" ht="24" customHeight="1">
      <c r="A65" s="5"/>
      <c r="B65" s="5"/>
      <c r="C65" s="5"/>
      <c r="D65" s="8"/>
      <c r="E65" s="10">
        <f>IF(OR(A65="",B65=""),0,IF(ISNUMBER(D65),D65,IF(OR(AND(Procedura!$B$10="Lavori",AC65=10),AND(Procedura!$B$10&lt;&gt;"Lavori",AC65=2)),IF(Procedura!$B$29="Si",IF(C65="RUP",IF(Procedura!$B$10="Lavori",20%,IF(Voci!$M$7&gt;0,(Voci!$J$7*(1-Procedura!$B$39)+(Voci!$J$7*Procedura!$B$39-Voci!$L$7)*20%)/Voci!$M$7,0)),IF(C65="Responsabile fase",IF(Procedura!$B$10="Lavori",80%,IF(Voci!$M$7&gt;0,(Voci!$J$7*Procedura!$B$39-Voci!$L$7)*80%/Voci!$M$7,0)),0)),IF(C65="RUP",1,0)),IF(IF(Procedura!$B$10="Lavori",OR(AC65=3,AC65=13),AC65=5),IF(C65="RUP",1,0),IF(IF(Procedura!$B$10="Lavori",OR(AC65=4,AC65=11,AC65=14),OR(AC65=3,AC65=6)),IF(AND(AD65&gt;0,AE65&gt;0),IF(OR(C65="Supporto",C65="Responsabile fase"),60%/AD65,IF(C65="Altro",40%/AE65,0)),IF(AF65&gt;0,1/AF65,0)),IF(AF65&gt;0,1/AF65,0))))))</f>
        <v>0</v>
      </c>
      <c r="F65" s="11">
        <f>IF(A65="",0,INDEX(Voci!$M$6:$M$24,MATCH(A65,Voci!$A$6:$A$24,0))*E65)</f>
        <v>0</v>
      </c>
      <c r="G65" s="11">
        <f>IF(A65="",0,INDEX(Voci!$O$6:$O$24,MATCH(A65,Voci!$A$6:$A$24,0))*E65)</f>
        <v>0</v>
      </c>
      <c r="H65" s="5" t="s">
        <v>60</v>
      </c>
      <c r="I65" s="5" t="s">
        <v>67</v>
      </c>
      <c r="J65" s="8">
        <v>0</v>
      </c>
      <c r="K65" s="8">
        <v>0</v>
      </c>
      <c r="L65" s="8">
        <v>0</v>
      </c>
      <c r="M65" s="8">
        <v>0</v>
      </c>
      <c r="N65" s="5"/>
      <c r="O65" s="10">
        <f t="shared" si="15"/>
        <v>0</v>
      </c>
      <c r="P65" s="10">
        <f t="shared" si="16"/>
        <v>0</v>
      </c>
      <c r="Q65" s="10">
        <f t="shared" si="17"/>
        <v>0</v>
      </c>
      <c r="R65" s="10">
        <f t="shared" si="18"/>
        <v>0</v>
      </c>
      <c r="S65" s="11">
        <f t="shared" si="19"/>
        <v>0</v>
      </c>
      <c r="T65" s="11">
        <f t="shared" si="20"/>
        <v>0</v>
      </c>
      <c r="U65" s="11">
        <f t="shared" si="21"/>
        <v>0</v>
      </c>
      <c r="V65" s="10">
        <f>IF(B65="",0,INDEX(Personale!$F$6:$F$25,MATCH(B65,Personale!$A$6:$A$25,0)))</f>
        <v>0</v>
      </c>
      <c r="W65" s="11">
        <f t="shared" si="22"/>
        <v>0</v>
      </c>
      <c r="X65" s="11">
        <f t="shared" si="23"/>
        <v>0</v>
      </c>
      <c r="Y65" s="11">
        <f>IF(B65="",0,W65*INDEX(Personale!$G$6:$G$25,MATCH(B65,Personale!$A$6:$A$25,0)))</f>
        <v>0</v>
      </c>
      <c r="Z65" s="2" t="str">
        <f>IF(AND(A65&lt;&gt;"",Procedura!$B$10&lt;&gt;"Lavori",AC65=7,B65=Procedura!$B$28),"DEC DEVE ESSERE DIVERSO DAL RUP",IF(AND(ISNUMBER(D65),OR(OR(AND(Procedura!$B$10="Lavori",AC65=10),AND(Procedura!$B$10&lt;&gt;"Lavori",AC65=2)),IF(Procedura!$B$10="Lavori",OR(AC65=3,AC65=13),AC65=5)),ABS(E65-IF(IF(Procedura!$B$10="Lavori",OR(AC65=3,AC65=13),AC65=5),1,IF(Procedura!$B$29="No",1,IF(C65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FISSO",IF(AND(A65="",B65=""),"",IF(OR(A65="",B65="",C65=""),"COMPLETARE VOCE PERSONA RUOLO",IF(COUNTIFS($AA$6:$AA$105,AA65)&gt;1,"PERSONA RIPETUTA NELLA VOCE",IF(INDEX(Voci!$F$6:$F$24,MATCH(A65,Voci!$A$6:$A$24,0))&lt;&gt;"Interna","VOCE NON INTERNA",IF(OR(AND(C65="RUP",B65&lt;&gt;Procedura!$B$28),AND(C65="Responsabile fase",OR(Procedura!$B$29&lt;&gt;"Si",B65&lt;&gt;Procedura!$B$30)),AND(OR(OR(AND(Procedura!$B$10="Lavori",AC65=10),AND(Procedura!$B$10&lt;&gt;"Lavori",AC65=2)),IF(Procedura!$B$10="Lavori",OR(AC65=3,AC65=13),AC65=5)),NOT(OR(C65="RUP",AND(OR(AND(Procedura!$B$10="Lavori",AC65=10),AND(Procedura!$B$10&lt;&gt;"Lavori",AC65=2)),C65="Responsabile fase",Procedura!$B$29="Si")))),AND(IF(Procedura!$B$10="Lavori",OR(AC65=4,AC65=11,AC65=14),OR(AC65=3,AC65=6)),NOT(OR(C65="Supporto",C65="Altro",C65="Responsabile fase")))),"RUOLO NON COERENTE",IF(AND(IF(Procedura!$B$10="Lavori",OR(AC65=4,AC65=11,AC65=14),OR(AC65=3,AC65=6)),B65=Procedura!$B$28),"RUP E COLLABORAZIONE INCOMPATIBILI",IF(AND(AG65&gt;0,AG65&lt;&gt;AF65),"PESI MANUALI SOLO SU ALCUNE RIGHE",IF(AND(J65&gt;0,NOT(AND(Procedura!$B$10="Lavori",OR(AC65=5,AC65=6)))),"RITARDO PROGETTAZIONE NON PERTINENTE",IF(AND(M65&gt;0,M65&lt;5%),"CARENZE INFERIORI AL 5%",IF(AND(OR(J65&gt;0,K65&gt;0,L65&gt;0,M65&gt;0,I65="Si"),N65=""),"MOTIVARE ESCLUSIONE O RIDUZIONE",IF(AND(G65&gt;0,H65="Da verificare"),"ATTESTAZIONE DA ACQUISIRE",IF(AND(G65&gt;0,H65="Si",N65=""),"INDICARE ATTI ATTIVITA","COERENTE"))))))))))))))</f>
        <v/>
      </c>
      <c r="AA65" s="2" t="str">
        <f t="shared" si="24"/>
        <v/>
      </c>
      <c r="AB65" s="2" t="str">
        <f>IF(A65="","",INDEX(Voci!$C$6:$C$24,MATCH(A65,Voci!$A$6:$A$24,0)))</f>
        <v/>
      </c>
      <c r="AC65" s="2">
        <f>IF(A65="",0,INDEX(Voci!$B$6:$B$24,MATCH(A65,Voci!$A$6:$A$24,0)))</f>
        <v>0</v>
      </c>
      <c r="AD65" s="2">
        <f t="shared" si="25"/>
        <v>0</v>
      </c>
      <c r="AE65" s="2">
        <f t="shared" si="26"/>
        <v>0</v>
      </c>
      <c r="AF65" s="2">
        <f t="shared" si="27"/>
        <v>0</v>
      </c>
      <c r="AG65" s="2">
        <f t="shared" si="28"/>
        <v>0</v>
      </c>
      <c r="AH65">
        <f t="shared" si="29"/>
        <v>0</v>
      </c>
    </row>
    <row r="66" spans="1:34" ht="24" customHeight="1">
      <c r="A66" s="5"/>
      <c r="B66" s="5"/>
      <c r="C66" s="5"/>
      <c r="D66" s="8"/>
      <c r="E66" s="10">
        <f>IF(OR(A66="",B66=""),0,IF(ISNUMBER(D66),D66,IF(OR(AND(Procedura!$B$10="Lavori",AC66=10),AND(Procedura!$B$10&lt;&gt;"Lavori",AC66=2)),IF(Procedura!$B$29="Si",IF(C66="RUP",IF(Procedura!$B$10="Lavori",20%,IF(Voci!$M$7&gt;0,(Voci!$J$7*(1-Procedura!$B$39)+(Voci!$J$7*Procedura!$B$39-Voci!$L$7)*20%)/Voci!$M$7,0)),IF(C66="Responsabile fase",IF(Procedura!$B$10="Lavori",80%,IF(Voci!$M$7&gt;0,(Voci!$J$7*Procedura!$B$39-Voci!$L$7)*80%/Voci!$M$7,0)),0)),IF(C66="RUP",1,0)),IF(IF(Procedura!$B$10="Lavori",OR(AC66=3,AC66=13),AC66=5),IF(C66="RUP",1,0),IF(IF(Procedura!$B$10="Lavori",OR(AC66=4,AC66=11,AC66=14),OR(AC66=3,AC66=6)),IF(AND(AD66&gt;0,AE66&gt;0),IF(OR(C66="Supporto",C66="Responsabile fase"),60%/AD66,IF(C66="Altro",40%/AE66,0)),IF(AF66&gt;0,1/AF66,0)),IF(AF66&gt;0,1/AF66,0))))))</f>
        <v>0</v>
      </c>
      <c r="F66" s="11">
        <f>IF(A66="",0,INDEX(Voci!$M$6:$M$24,MATCH(A66,Voci!$A$6:$A$24,0))*E66)</f>
        <v>0</v>
      </c>
      <c r="G66" s="11">
        <f>IF(A66="",0,INDEX(Voci!$O$6:$O$24,MATCH(A66,Voci!$A$6:$A$24,0))*E66)</f>
        <v>0</v>
      </c>
      <c r="H66" s="5" t="s">
        <v>60</v>
      </c>
      <c r="I66" s="5" t="s">
        <v>67</v>
      </c>
      <c r="J66" s="8">
        <v>0</v>
      </c>
      <c r="K66" s="8">
        <v>0</v>
      </c>
      <c r="L66" s="8">
        <v>0</v>
      </c>
      <c r="M66" s="8">
        <v>0</v>
      </c>
      <c r="N66" s="5"/>
      <c r="O66" s="10">
        <f t="shared" si="15"/>
        <v>0</v>
      </c>
      <c r="P66" s="10">
        <f t="shared" si="16"/>
        <v>0</v>
      </c>
      <c r="Q66" s="10">
        <f t="shared" si="17"/>
        <v>0</v>
      </c>
      <c r="R66" s="10">
        <f t="shared" si="18"/>
        <v>0</v>
      </c>
      <c r="S66" s="11">
        <f t="shared" si="19"/>
        <v>0</v>
      </c>
      <c r="T66" s="11">
        <f t="shared" si="20"/>
        <v>0</v>
      </c>
      <c r="U66" s="11">
        <f t="shared" si="21"/>
        <v>0</v>
      </c>
      <c r="V66" s="10">
        <f>IF(B66="",0,INDEX(Personale!$F$6:$F$25,MATCH(B66,Personale!$A$6:$A$25,0)))</f>
        <v>0</v>
      </c>
      <c r="W66" s="11">
        <f t="shared" si="22"/>
        <v>0</v>
      </c>
      <c r="X66" s="11">
        <f t="shared" si="23"/>
        <v>0</v>
      </c>
      <c r="Y66" s="11">
        <f>IF(B66="",0,W66*INDEX(Personale!$G$6:$G$25,MATCH(B66,Personale!$A$6:$A$25,0)))</f>
        <v>0</v>
      </c>
      <c r="Z66" s="2" t="str">
        <f>IF(AND(A66&lt;&gt;"",Procedura!$B$10&lt;&gt;"Lavori",AC66=7,B66=Procedura!$B$28),"DEC DEVE ESSERE DIVERSO DAL RUP",IF(AND(ISNUMBER(D66),OR(OR(AND(Procedura!$B$10="Lavori",AC66=10),AND(Procedura!$B$10&lt;&gt;"Lavori",AC66=2)),IF(Procedura!$B$10="Lavori",OR(AC66=3,AC66=13),AC66=5)),ABS(E66-IF(IF(Procedura!$B$10="Lavori",OR(AC66=3,AC66=13),AC66=5),1,IF(Procedura!$B$29="No",1,IF(C66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FISSO",IF(AND(A66="",B66=""),"",IF(OR(A66="",B66="",C66=""),"COMPLETARE VOCE PERSONA RUOLO",IF(COUNTIFS($AA$6:$AA$105,AA66)&gt;1,"PERSONA RIPETUTA NELLA VOCE",IF(INDEX(Voci!$F$6:$F$24,MATCH(A66,Voci!$A$6:$A$24,0))&lt;&gt;"Interna","VOCE NON INTERNA",IF(OR(AND(C66="RUP",B66&lt;&gt;Procedura!$B$28),AND(C66="Responsabile fase",OR(Procedura!$B$29&lt;&gt;"Si",B66&lt;&gt;Procedura!$B$30)),AND(OR(OR(AND(Procedura!$B$10="Lavori",AC66=10),AND(Procedura!$B$10&lt;&gt;"Lavori",AC66=2)),IF(Procedura!$B$10="Lavori",OR(AC66=3,AC66=13),AC66=5)),NOT(OR(C66="RUP",AND(OR(AND(Procedura!$B$10="Lavori",AC66=10),AND(Procedura!$B$10&lt;&gt;"Lavori",AC66=2)),C66="Responsabile fase",Procedura!$B$29="Si")))),AND(IF(Procedura!$B$10="Lavori",OR(AC66=4,AC66=11,AC66=14),OR(AC66=3,AC66=6)),NOT(OR(C66="Supporto",C66="Altro",C66="Responsabile fase")))),"RUOLO NON COERENTE",IF(AND(IF(Procedura!$B$10="Lavori",OR(AC66=4,AC66=11,AC66=14),OR(AC66=3,AC66=6)),B66=Procedura!$B$28),"RUP E COLLABORAZIONE INCOMPATIBILI",IF(AND(AG66&gt;0,AG66&lt;&gt;AF66),"PESI MANUALI SOLO SU ALCUNE RIGHE",IF(AND(J66&gt;0,NOT(AND(Procedura!$B$10="Lavori",OR(AC66=5,AC66=6)))),"RITARDO PROGETTAZIONE NON PERTINENTE",IF(AND(M66&gt;0,M66&lt;5%),"CARENZE INFERIORI AL 5%",IF(AND(OR(J66&gt;0,K66&gt;0,L66&gt;0,M66&gt;0,I66="Si"),N66=""),"MOTIVARE ESCLUSIONE O RIDUZIONE",IF(AND(G66&gt;0,H66="Da verificare"),"ATTESTAZIONE DA ACQUISIRE",IF(AND(G66&gt;0,H66="Si",N66=""),"INDICARE ATTI ATTIVITA","COERENTE"))))))))))))))</f>
        <v/>
      </c>
      <c r="AA66" s="2" t="str">
        <f t="shared" si="24"/>
        <v/>
      </c>
      <c r="AB66" s="2" t="str">
        <f>IF(A66="","",INDEX(Voci!$C$6:$C$24,MATCH(A66,Voci!$A$6:$A$24,0)))</f>
        <v/>
      </c>
      <c r="AC66" s="2">
        <f>IF(A66="",0,INDEX(Voci!$B$6:$B$24,MATCH(A66,Voci!$A$6:$A$24,0)))</f>
        <v>0</v>
      </c>
      <c r="AD66" s="2">
        <f t="shared" si="25"/>
        <v>0</v>
      </c>
      <c r="AE66" s="2">
        <f t="shared" si="26"/>
        <v>0</v>
      </c>
      <c r="AF66" s="2">
        <f t="shared" si="27"/>
        <v>0</v>
      </c>
      <c r="AG66" s="2">
        <f t="shared" si="28"/>
        <v>0</v>
      </c>
      <c r="AH66">
        <f t="shared" si="29"/>
        <v>0</v>
      </c>
    </row>
    <row r="67" spans="1:34" ht="24" customHeight="1">
      <c r="A67" s="5"/>
      <c r="B67" s="5"/>
      <c r="C67" s="5"/>
      <c r="D67" s="8"/>
      <c r="E67" s="10">
        <f>IF(OR(A67="",B67=""),0,IF(ISNUMBER(D67),D67,IF(OR(AND(Procedura!$B$10="Lavori",AC67=10),AND(Procedura!$B$10&lt;&gt;"Lavori",AC67=2)),IF(Procedura!$B$29="Si",IF(C67="RUP",IF(Procedura!$B$10="Lavori",20%,IF(Voci!$M$7&gt;0,(Voci!$J$7*(1-Procedura!$B$39)+(Voci!$J$7*Procedura!$B$39-Voci!$L$7)*20%)/Voci!$M$7,0)),IF(C67="Responsabile fase",IF(Procedura!$B$10="Lavori",80%,IF(Voci!$M$7&gt;0,(Voci!$J$7*Procedura!$B$39-Voci!$L$7)*80%/Voci!$M$7,0)),0)),IF(C67="RUP",1,0)),IF(IF(Procedura!$B$10="Lavori",OR(AC67=3,AC67=13),AC67=5),IF(C67="RUP",1,0),IF(IF(Procedura!$B$10="Lavori",OR(AC67=4,AC67=11,AC67=14),OR(AC67=3,AC67=6)),IF(AND(AD67&gt;0,AE67&gt;0),IF(OR(C67="Supporto",C67="Responsabile fase"),60%/AD67,IF(C67="Altro",40%/AE67,0)),IF(AF67&gt;0,1/AF67,0)),IF(AF67&gt;0,1/AF67,0))))))</f>
        <v>0</v>
      </c>
      <c r="F67" s="11">
        <f>IF(A67="",0,INDEX(Voci!$M$6:$M$24,MATCH(A67,Voci!$A$6:$A$24,0))*E67)</f>
        <v>0</v>
      </c>
      <c r="G67" s="11">
        <f>IF(A67="",0,INDEX(Voci!$O$6:$O$24,MATCH(A67,Voci!$A$6:$A$24,0))*E67)</f>
        <v>0</v>
      </c>
      <c r="H67" s="5" t="s">
        <v>60</v>
      </c>
      <c r="I67" s="5" t="s">
        <v>67</v>
      </c>
      <c r="J67" s="8">
        <v>0</v>
      </c>
      <c r="K67" s="8">
        <v>0</v>
      </c>
      <c r="L67" s="8">
        <v>0</v>
      </c>
      <c r="M67" s="8">
        <v>0</v>
      </c>
      <c r="N67" s="5"/>
      <c r="O67" s="10">
        <f t="shared" si="15"/>
        <v>0</v>
      </c>
      <c r="P67" s="10">
        <f t="shared" si="16"/>
        <v>0</v>
      </c>
      <c r="Q67" s="10">
        <f t="shared" si="17"/>
        <v>0</v>
      </c>
      <c r="R67" s="10">
        <f t="shared" si="18"/>
        <v>0</v>
      </c>
      <c r="S67" s="11">
        <f t="shared" si="19"/>
        <v>0</v>
      </c>
      <c r="T67" s="11">
        <f t="shared" si="20"/>
        <v>0</v>
      </c>
      <c r="U67" s="11">
        <f t="shared" si="21"/>
        <v>0</v>
      </c>
      <c r="V67" s="10">
        <f>IF(B67="",0,INDEX(Personale!$F$6:$F$25,MATCH(B67,Personale!$A$6:$A$25,0)))</f>
        <v>0</v>
      </c>
      <c r="W67" s="11">
        <f t="shared" si="22"/>
        <v>0</v>
      </c>
      <c r="X67" s="11">
        <f t="shared" si="23"/>
        <v>0</v>
      </c>
      <c r="Y67" s="11">
        <f>IF(B67="",0,W67*INDEX(Personale!$G$6:$G$25,MATCH(B67,Personale!$A$6:$A$25,0)))</f>
        <v>0</v>
      </c>
      <c r="Z67" s="2" t="str">
        <f>IF(AND(A67&lt;&gt;"",Procedura!$B$10&lt;&gt;"Lavori",AC67=7,B67=Procedura!$B$28),"DEC DEVE ESSERE DIVERSO DAL RUP",IF(AND(ISNUMBER(D67),OR(OR(AND(Procedura!$B$10="Lavori",AC67=10),AND(Procedura!$B$10&lt;&gt;"Lavori",AC67=2)),IF(Procedura!$B$10="Lavori",OR(AC67=3,AC67=13),AC67=5)),ABS(E67-IF(IF(Procedura!$B$10="Lavori",OR(AC67=3,AC67=13),AC67=5),1,IF(Procedura!$B$29="No",1,IF(C67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FISSO",IF(AND(A67="",B67=""),"",IF(OR(A67="",B67="",C67=""),"COMPLETARE VOCE PERSONA RUOLO",IF(COUNTIFS($AA$6:$AA$105,AA67)&gt;1,"PERSONA RIPETUTA NELLA VOCE",IF(INDEX(Voci!$F$6:$F$24,MATCH(A67,Voci!$A$6:$A$24,0))&lt;&gt;"Interna","VOCE NON INTERNA",IF(OR(AND(C67="RUP",B67&lt;&gt;Procedura!$B$28),AND(C67="Responsabile fase",OR(Procedura!$B$29&lt;&gt;"Si",B67&lt;&gt;Procedura!$B$30)),AND(OR(OR(AND(Procedura!$B$10="Lavori",AC67=10),AND(Procedura!$B$10&lt;&gt;"Lavori",AC67=2)),IF(Procedura!$B$10="Lavori",OR(AC67=3,AC67=13),AC67=5)),NOT(OR(C67="RUP",AND(OR(AND(Procedura!$B$10="Lavori",AC67=10),AND(Procedura!$B$10&lt;&gt;"Lavori",AC67=2)),C67="Responsabile fase",Procedura!$B$29="Si")))),AND(IF(Procedura!$B$10="Lavori",OR(AC67=4,AC67=11,AC67=14),OR(AC67=3,AC67=6)),NOT(OR(C67="Supporto",C67="Altro",C67="Responsabile fase")))),"RUOLO NON COERENTE",IF(AND(IF(Procedura!$B$10="Lavori",OR(AC67=4,AC67=11,AC67=14),OR(AC67=3,AC67=6)),B67=Procedura!$B$28),"RUP E COLLABORAZIONE INCOMPATIBILI",IF(AND(AG67&gt;0,AG67&lt;&gt;AF67),"PESI MANUALI SOLO SU ALCUNE RIGHE",IF(AND(J67&gt;0,NOT(AND(Procedura!$B$10="Lavori",OR(AC67=5,AC67=6)))),"RITARDO PROGETTAZIONE NON PERTINENTE",IF(AND(M67&gt;0,M67&lt;5%),"CARENZE INFERIORI AL 5%",IF(AND(OR(J67&gt;0,K67&gt;0,L67&gt;0,M67&gt;0,I67="Si"),N67=""),"MOTIVARE ESCLUSIONE O RIDUZIONE",IF(AND(G67&gt;0,H67="Da verificare"),"ATTESTAZIONE DA ACQUISIRE",IF(AND(G67&gt;0,H67="Si",N67=""),"INDICARE ATTI ATTIVITA","COERENTE"))))))))))))))</f>
        <v/>
      </c>
      <c r="AA67" s="2" t="str">
        <f t="shared" si="24"/>
        <v/>
      </c>
      <c r="AB67" s="2" t="str">
        <f>IF(A67="","",INDEX(Voci!$C$6:$C$24,MATCH(A67,Voci!$A$6:$A$24,0)))</f>
        <v/>
      </c>
      <c r="AC67" s="2">
        <f>IF(A67="",0,INDEX(Voci!$B$6:$B$24,MATCH(A67,Voci!$A$6:$A$24,0)))</f>
        <v>0</v>
      </c>
      <c r="AD67" s="2">
        <f t="shared" si="25"/>
        <v>0</v>
      </c>
      <c r="AE67" s="2">
        <f t="shared" si="26"/>
        <v>0</v>
      </c>
      <c r="AF67" s="2">
        <f t="shared" si="27"/>
        <v>0</v>
      </c>
      <c r="AG67" s="2">
        <f t="shared" si="28"/>
        <v>0</v>
      </c>
      <c r="AH67">
        <f t="shared" si="29"/>
        <v>0</v>
      </c>
    </row>
    <row r="68" spans="1:34" ht="24" customHeight="1">
      <c r="A68" s="5"/>
      <c r="B68" s="5"/>
      <c r="C68" s="5"/>
      <c r="D68" s="8"/>
      <c r="E68" s="10">
        <f>IF(OR(A68="",B68=""),0,IF(ISNUMBER(D68),D68,IF(OR(AND(Procedura!$B$10="Lavori",AC68=10),AND(Procedura!$B$10&lt;&gt;"Lavori",AC68=2)),IF(Procedura!$B$29="Si",IF(C68="RUP",IF(Procedura!$B$10="Lavori",20%,IF(Voci!$M$7&gt;0,(Voci!$J$7*(1-Procedura!$B$39)+(Voci!$J$7*Procedura!$B$39-Voci!$L$7)*20%)/Voci!$M$7,0)),IF(C68="Responsabile fase",IF(Procedura!$B$10="Lavori",80%,IF(Voci!$M$7&gt;0,(Voci!$J$7*Procedura!$B$39-Voci!$L$7)*80%/Voci!$M$7,0)),0)),IF(C68="RUP",1,0)),IF(IF(Procedura!$B$10="Lavori",OR(AC68=3,AC68=13),AC68=5),IF(C68="RUP",1,0),IF(IF(Procedura!$B$10="Lavori",OR(AC68=4,AC68=11,AC68=14),OR(AC68=3,AC68=6)),IF(AND(AD68&gt;0,AE68&gt;0),IF(OR(C68="Supporto",C68="Responsabile fase"),60%/AD68,IF(C68="Altro",40%/AE68,0)),IF(AF68&gt;0,1/AF68,0)),IF(AF68&gt;0,1/AF68,0))))))</f>
        <v>0</v>
      </c>
      <c r="F68" s="11">
        <f>IF(A68="",0,INDEX(Voci!$M$6:$M$24,MATCH(A68,Voci!$A$6:$A$24,0))*E68)</f>
        <v>0</v>
      </c>
      <c r="G68" s="11">
        <f>IF(A68="",0,INDEX(Voci!$O$6:$O$24,MATCH(A68,Voci!$A$6:$A$24,0))*E68)</f>
        <v>0</v>
      </c>
      <c r="H68" s="5" t="s">
        <v>60</v>
      </c>
      <c r="I68" s="5" t="s">
        <v>67</v>
      </c>
      <c r="J68" s="8">
        <v>0</v>
      </c>
      <c r="K68" s="8">
        <v>0</v>
      </c>
      <c r="L68" s="8">
        <v>0</v>
      </c>
      <c r="M68" s="8">
        <v>0</v>
      </c>
      <c r="N68" s="5"/>
      <c r="O68" s="10">
        <f t="shared" si="15"/>
        <v>0</v>
      </c>
      <c r="P68" s="10">
        <f t="shared" si="16"/>
        <v>0</v>
      </c>
      <c r="Q68" s="10">
        <f t="shared" si="17"/>
        <v>0</v>
      </c>
      <c r="R68" s="10">
        <f t="shared" si="18"/>
        <v>0</v>
      </c>
      <c r="S68" s="11">
        <f t="shared" si="19"/>
        <v>0</v>
      </c>
      <c r="T68" s="11">
        <f t="shared" si="20"/>
        <v>0</v>
      </c>
      <c r="U68" s="11">
        <f t="shared" si="21"/>
        <v>0</v>
      </c>
      <c r="V68" s="10">
        <f>IF(B68="",0,INDEX(Personale!$F$6:$F$25,MATCH(B68,Personale!$A$6:$A$25,0)))</f>
        <v>0</v>
      </c>
      <c r="W68" s="11">
        <f t="shared" si="22"/>
        <v>0</v>
      </c>
      <c r="X68" s="11">
        <f t="shared" si="23"/>
        <v>0</v>
      </c>
      <c r="Y68" s="11">
        <f>IF(B68="",0,W68*INDEX(Personale!$G$6:$G$25,MATCH(B68,Personale!$A$6:$A$25,0)))</f>
        <v>0</v>
      </c>
      <c r="Z68" s="2" t="str">
        <f>IF(AND(A68&lt;&gt;"",Procedura!$B$10&lt;&gt;"Lavori",AC68=7,B68=Procedura!$B$28),"DEC DEVE ESSERE DIVERSO DAL RUP",IF(AND(ISNUMBER(D68),OR(OR(AND(Procedura!$B$10="Lavori",AC68=10),AND(Procedura!$B$10&lt;&gt;"Lavori",AC68=2)),IF(Procedura!$B$10="Lavori",OR(AC68=3,AC68=13),AC68=5)),ABS(E68-IF(IF(Procedura!$B$10="Lavori",OR(AC68=3,AC68=13),AC68=5),1,IF(Procedura!$B$29="No",1,IF(C68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FISSO",IF(AND(A68="",B68=""),"",IF(OR(A68="",B68="",C68=""),"COMPLETARE VOCE PERSONA RUOLO",IF(COUNTIFS($AA$6:$AA$105,AA68)&gt;1,"PERSONA RIPETUTA NELLA VOCE",IF(INDEX(Voci!$F$6:$F$24,MATCH(A68,Voci!$A$6:$A$24,0))&lt;&gt;"Interna","VOCE NON INTERNA",IF(OR(AND(C68="RUP",B68&lt;&gt;Procedura!$B$28),AND(C68="Responsabile fase",OR(Procedura!$B$29&lt;&gt;"Si",B68&lt;&gt;Procedura!$B$30)),AND(OR(OR(AND(Procedura!$B$10="Lavori",AC68=10),AND(Procedura!$B$10&lt;&gt;"Lavori",AC68=2)),IF(Procedura!$B$10="Lavori",OR(AC68=3,AC68=13),AC68=5)),NOT(OR(C68="RUP",AND(OR(AND(Procedura!$B$10="Lavori",AC68=10),AND(Procedura!$B$10&lt;&gt;"Lavori",AC68=2)),C68="Responsabile fase",Procedura!$B$29="Si")))),AND(IF(Procedura!$B$10="Lavori",OR(AC68=4,AC68=11,AC68=14),OR(AC68=3,AC68=6)),NOT(OR(C68="Supporto",C68="Altro",C68="Responsabile fase")))),"RUOLO NON COERENTE",IF(AND(IF(Procedura!$B$10="Lavori",OR(AC68=4,AC68=11,AC68=14),OR(AC68=3,AC68=6)),B68=Procedura!$B$28),"RUP E COLLABORAZIONE INCOMPATIBILI",IF(AND(AG68&gt;0,AG68&lt;&gt;AF68),"PESI MANUALI SOLO SU ALCUNE RIGHE",IF(AND(J68&gt;0,NOT(AND(Procedura!$B$10="Lavori",OR(AC68=5,AC68=6)))),"RITARDO PROGETTAZIONE NON PERTINENTE",IF(AND(M68&gt;0,M68&lt;5%),"CARENZE INFERIORI AL 5%",IF(AND(OR(J68&gt;0,K68&gt;0,L68&gt;0,M68&gt;0,I68="Si"),N68=""),"MOTIVARE ESCLUSIONE O RIDUZIONE",IF(AND(G68&gt;0,H68="Da verificare"),"ATTESTAZIONE DA ACQUISIRE",IF(AND(G68&gt;0,H68="Si",N68=""),"INDICARE ATTI ATTIVITA","COERENTE"))))))))))))))</f>
        <v/>
      </c>
      <c r="AA68" s="2" t="str">
        <f t="shared" si="24"/>
        <v/>
      </c>
      <c r="AB68" s="2" t="str">
        <f>IF(A68="","",INDEX(Voci!$C$6:$C$24,MATCH(A68,Voci!$A$6:$A$24,0)))</f>
        <v/>
      </c>
      <c r="AC68" s="2">
        <f>IF(A68="",0,INDEX(Voci!$B$6:$B$24,MATCH(A68,Voci!$A$6:$A$24,0)))</f>
        <v>0</v>
      </c>
      <c r="AD68" s="2">
        <f t="shared" si="25"/>
        <v>0</v>
      </c>
      <c r="AE68" s="2">
        <f t="shared" si="26"/>
        <v>0</v>
      </c>
      <c r="AF68" s="2">
        <f t="shared" si="27"/>
        <v>0</v>
      </c>
      <c r="AG68" s="2">
        <f t="shared" si="28"/>
        <v>0</v>
      </c>
      <c r="AH68">
        <f t="shared" si="29"/>
        <v>0</v>
      </c>
    </row>
    <row r="69" spans="1:34" ht="24" customHeight="1">
      <c r="A69" s="5"/>
      <c r="B69" s="5"/>
      <c r="C69" s="5"/>
      <c r="D69" s="8"/>
      <c r="E69" s="10">
        <f>IF(OR(A69="",B69=""),0,IF(ISNUMBER(D69),D69,IF(OR(AND(Procedura!$B$10="Lavori",AC69=10),AND(Procedura!$B$10&lt;&gt;"Lavori",AC69=2)),IF(Procedura!$B$29="Si",IF(C69="RUP",IF(Procedura!$B$10="Lavori",20%,IF(Voci!$M$7&gt;0,(Voci!$J$7*(1-Procedura!$B$39)+(Voci!$J$7*Procedura!$B$39-Voci!$L$7)*20%)/Voci!$M$7,0)),IF(C69="Responsabile fase",IF(Procedura!$B$10="Lavori",80%,IF(Voci!$M$7&gt;0,(Voci!$J$7*Procedura!$B$39-Voci!$L$7)*80%/Voci!$M$7,0)),0)),IF(C69="RUP",1,0)),IF(IF(Procedura!$B$10="Lavori",OR(AC69=3,AC69=13),AC69=5),IF(C69="RUP",1,0),IF(IF(Procedura!$B$10="Lavori",OR(AC69=4,AC69=11,AC69=14),OR(AC69=3,AC69=6)),IF(AND(AD69&gt;0,AE69&gt;0),IF(OR(C69="Supporto",C69="Responsabile fase"),60%/AD69,IF(C69="Altro",40%/AE69,0)),IF(AF69&gt;0,1/AF69,0)),IF(AF69&gt;0,1/AF69,0))))))</f>
        <v>0</v>
      </c>
      <c r="F69" s="11">
        <f>IF(A69="",0,INDEX(Voci!$M$6:$M$24,MATCH(A69,Voci!$A$6:$A$24,0))*E69)</f>
        <v>0</v>
      </c>
      <c r="G69" s="11">
        <f>IF(A69="",0,INDEX(Voci!$O$6:$O$24,MATCH(A69,Voci!$A$6:$A$24,0))*E69)</f>
        <v>0</v>
      </c>
      <c r="H69" s="5" t="s">
        <v>60</v>
      </c>
      <c r="I69" s="5" t="s">
        <v>67</v>
      </c>
      <c r="J69" s="8">
        <v>0</v>
      </c>
      <c r="K69" s="8">
        <v>0</v>
      </c>
      <c r="L69" s="8">
        <v>0</v>
      </c>
      <c r="M69" s="8">
        <v>0</v>
      </c>
      <c r="N69" s="5"/>
      <c r="O69" s="10">
        <f t="shared" si="15"/>
        <v>0</v>
      </c>
      <c r="P69" s="10">
        <f t="shared" si="16"/>
        <v>0</v>
      </c>
      <c r="Q69" s="10">
        <f t="shared" si="17"/>
        <v>0</v>
      </c>
      <c r="R69" s="10">
        <f t="shared" si="18"/>
        <v>0</v>
      </c>
      <c r="S69" s="11">
        <f t="shared" si="19"/>
        <v>0</v>
      </c>
      <c r="T69" s="11">
        <f t="shared" si="20"/>
        <v>0</v>
      </c>
      <c r="U69" s="11">
        <f t="shared" si="21"/>
        <v>0</v>
      </c>
      <c r="V69" s="10">
        <f>IF(B69="",0,INDEX(Personale!$F$6:$F$25,MATCH(B69,Personale!$A$6:$A$25,0)))</f>
        <v>0</v>
      </c>
      <c r="W69" s="11">
        <f t="shared" si="22"/>
        <v>0</v>
      </c>
      <c r="X69" s="11">
        <f t="shared" si="23"/>
        <v>0</v>
      </c>
      <c r="Y69" s="11">
        <f>IF(B69="",0,W69*INDEX(Personale!$G$6:$G$25,MATCH(B69,Personale!$A$6:$A$25,0)))</f>
        <v>0</v>
      </c>
      <c r="Z69" s="2" t="str">
        <f>IF(AND(A69&lt;&gt;"",Procedura!$B$10&lt;&gt;"Lavori",AC69=7,B69=Procedura!$B$28),"DEC DEVE ESSERE DIVERSO DAL RUP",IF(AND(ISNUMBER(D69),OR(OR(AND(Procedura!$B$10="Lavori",AC69=10),AND(Procedura!$B$10&lt;&gt;"Lavori",AC69=2)),IF(Procedura!$B$10="Lavori",OR(AC69=3,AC69=13),AC69=5)),ABS(E69-IF(IF(Procedura!$B$10="Lavori",OR(AC69=3,AC69=13),AC69=5),1,IF(Procedura!$B$29="No",1,IF(C69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FISSO",IF(AND(A69="",B69=""),"",IF(OR(A69="",B69="",C69=""),"COMPLETARE VOCE PERSONA RUOLO",IF(COUNTIFS($AA$6:$AA$105,AA69)&gt;1,"PERSONA RIPETUTA NELLA VOCE",IF(INDEX(Voci!$F$6:$F$24,MATCH(A69,Voci!$A$6:$A$24,0))&lt;&gt;"Interna","VOCE NON INTERNA",IF(OR(AND(C69="RUP",B69&lt;&gt;Procedura!$B$28),AND(C69="Responsabile fase",OR(Procedura!$B$29&lt;&gt;"Si",B69&lt;&gt;Procedura!$B$30)),AND(OR(OR(AND(Procedura!$B$10="Lavori",AC69=10),AND(Procedura!$B$10&lt;&gt;"Lavori",AC69=2)),IF(Procedura!$B$10="Lavori",OR(AC69=3,AC69=13),AC69=5)),NOT(OR(C69="RUP",AND(OR(AND(Procedura!$B$10="Lavori",AC69=10),AND(Procedura!$B$10&lt;&gt;"Lavori",AC69=2)),C69="Responsabile fase",Procedura!$B$29="Si")))),AND(IF(Procedura!$B$10="Lavori",OR(AC69=4,AC69=11,AC69=14),OR(AC69=3,AC69=6)),NOT(OR(C69="Supporto",C69="Altro",C69="Responsabile fase")))),"RUOLO NON COERENTE",IF(AND(IF(Procedura!$B$10="Lavori",OR(AC69=4,AC69=11,AC69=14),OR(AC69=3,AC69=6)),B69=Procedura!$B$28),"RUP E COLLABORAZIONE INCOMPATIBILI",IF(AND(AG69&gt;0,AG69&lt;&gt;AF69),"PESI MANUALI SOLO SU ALCUNE RIGHE",IF(AND(J69&gt;0,NOT(AND(Procedura!$B$10="Lavori",OR(AC69=5,AC69=6)))),"RITARDO PROGETTAZIONE NON PERTINENTE",IF(AND(M69&gt;0,M69&lt;5%),"CARENZE INFERIORI AL 5%",IF(AND(OR(J69&gt;0,K69&gt;0,L69&gt;0,M69&gt;0,I69="Si"),N69=""),"MOTIVARE ESCLUSIONE O RIDUZIONE",IF(AND(G69&gt;0,H69="Da verificare"),"ATTESTAZIONE DA ACQUISIRE",IF(AND(G69&gt;0,H69="Si",N69=""),"INDICARE ATTI ATTIVITA","COERENTE"))))))))))))))</f>
        <v/>
      </c>
      <c r="AA69" s="2" t="str">
        <f t="shared" si="24"/>
        <v/>
      </c>
      <c r="AB69" s="2" t="str">
        <f>IF(A69="","",INDEX(Voci!$C$6:$C$24,MATCH(A69,Voci!$A$6:$A$24,0)))</f>
        <v/>
      </c>
      <c r="AC69" s="2">
        <f>IF(A69="",0,INDEX(Voci!$B$6:$B$24,MATCH(A69,Voci!$A$6:$A$24,0)))</f>
        <v>0</v>
      </c>
      <c r="AD69" s="2">
        <f t="shared" si="25"/>
        <v>0</v>
      </c>
      <c r="AE69" s="2">
        <f t="shared" si="26"/>
        <v>0</v>
      </c>
      <c r="AF69" s="2">
        <f t="shared" si="27"/>
        <v>0</v>
      </c>
      <c r="AG69" s="2">
        <f t="shared" si="28"/>
        <v>0</v>
      </c>
      <c r="AH69">
        <f t="shared" si="29"/>
        <v>0</v>
      </c>
    </row>
    <row r="70" spans="1:34" ht="24" customHeight="1">
      <c r="A70" s="5"/>
      <c r="B70" s="5"/>
      <c r="C70" s="5"/>
      <c r="D70" s="8"/>
      <c r="E70" s="10">
        <f>IF(OR(A70="",B70=""),0,IF(ISNUMBER(D70),D70,IF(OR(AND(Procedura!$B$10="Lavori",AC70=10),AND(Procedura!$B$10&lt;&gt;"Lavori",AC70=2)),IF(Procedura!$B$29="Si",IF(C70="RUP",IF(Procedura!$B$10="Lavori",20%,IF(Voci!$M$7&gt;0,(Voci!$J$7*(1-Procedura!$B$39)+(Voci!$J$7*Procedura!$B$39-Voci!$L$7)*20%)/Voci!$M$7,0)),IF(C70="Responsabile fase",IF(Procedura!$B$10="Lavori",80%,IF(Voci!$M$7&gt;0,(Voci!$J$7*Procedura!$B$39-Voci!$L$7)*80%/Voci!$M$7,0)),0)),IF(C70="RUP",1,0)),IF(IF(Procedura!$B$10="Lavori",OR(AC70=3,AC70=13),AC70=5),IF(C70="RUP",1,0),IF(IF(Procedura!$B$10="Lavori",OR(AC70=4,AC70=11,AC70=14),OR(AC70=3,AC70=6)),IF(AND(AD70&gt;0,AE70&gt;0),IF(OR(C70="Supporto",C70="Responsabile fase"),60%/AD70,IF(C70="Altro",40%/AE70,0)),IF(AF70&gt;0,1/AF70,0)),IF(AF70&gt;0,1/AF70,0))))))</f>
        <v>0</v>
      </c>
      <c r="F70" s="11">
        <f>IF(A70="",0,INDEX(Voci!$M$6:$M$24,MATCH(A70,Voci!$A$6:$A$24,0))*E70)</f>
        <v>0</v>
      </c>
      <c r="G70" s="11">
        <f>IF(A70="",0,INDEX(Voci!$O$6:$O$24,MATCH(A70,Voci!$A$6:$A$24,0))*E70)</f>
        <v>0</v>
      </c>
      <c r="H70" s="5" t="s">
        <v>60</v>
      </c>
      <c r="I70" s="5" t="s">
        <v>67</v>
      </c>
      <c r="J70" s="8">
        <v>0</v>
      </c>
      <c r="K70" s="8">
        <v>0</v>
      </c>
      <c r="L70" s="8">
        <v>0</v>
      </c>
      <c r="M70" s="8">
        <v>0</v>
      </c>
      <c r="N70" s="5"/>
      <c r="O70" s="10">
        <f t="shared" ref="O70:O105" si="30">IF(J70&lt;=0,0,IF(J70&lt;=1/3,20%,IF(J70&lt;=1/2,40%,IF(J70&lt;=2/3,60%,100%))))</f>
        <v>0</v>
      </c>
      <c r="P70" s="10">
        <f t="shared" ref="P70:P105" si="31">IF(K70&lt;=0,0,IF(K70&lt;=30%,20%,IF(K70&lt;=40%,40%,60%)))</f>
        <v>0</v>
      </c>
      <c r="Q70" s="10">
        <f t="shared" ref="Q70:Q105" si="32">IF(L70&lt;=0,0,IF(L70&lt;=25%,30%,IF(L70&lt;=40%,50%,60%)))</f>
        <v>0</v>
      </c>
      <c r="R70" s="10">
        <f t="shared" ref="R70:R101" si="33">MIN(100%,SUM(M70,O70:Q70))</f>
        <v>0</v>
      </c>
      <c r="S70" s="11">
        <f t="shared" ref="S70:S101" si="34">IF(I70="Si",G70,IF(H70="Si",G70*R70,0))</f>
        <v>0</v>
      </c>
      <c r="T70" s="11">
        <f t="shared" ref="T70:T105" si="35">IF(AND(H70="No",I70&lt;&gt;"Si"),G70,0)</f>
        <v>0</v>
      </c>
      <c r="U70" s="11">
        <f t="shared" ref="U70:U105" si="36">IF(AND(H70="Si",I70&lt;&gt;"Si"),G70-S70,0)</f>
        <v>0</v>
      </c>
      <c r="V70" s="10">
        <f>IF(B70="",0,INDEX(Personale!$F$6:$F$25,MATCH(B70,Personale!$A$6:$A$25,0)))</f>
        <v>0</v>
      </c>
      <c r="W70" s="11">
        <f t="shared" ref="W70:W101" si="37">U70/(1+V70)</f>
        <v>0</v>
      </c>
      <c r="X70" s="11">
        <f t="shared" ref="X70:X101" si="38">U70-W70</f>
        <v>0</v>
      </c>
      <c r="Y70" s="11">
        <f>IF(B70="",0,W70*INDEX(Personale!$G$6:$G$25,MATCH(B70,Personale!$A$6:$A$25,0)))</f>
        <v>0</v>
      </c>
      <c r="Z70" s="2" t="str">
        <f>IF(AND(A70&lt;&gt;"",Procedura!$B$10&lt;&gt;"Lavori",AC70=7,B70=Procedura!$B$28),"DEC DEVE ESSERE DIVERSO DAL RUP",IF(AND(ISNUMBER(D70),OR(OR(AND(Procedura!$B$10="Lavori",AC70=10),AND(Procedura!$B$10&lt;&gt;"Lavori",AC70=2)),IF(Procedura!$B$10="Lavori",OR(AC70=3,AC70=13),AC70=5)),ABS(E70-IF(IF(Procedura!$B$10="Lavori",OR(AC70=3,AC70=13),AC70=5),1,IF(Procedura!$B$29="No",1,IF(C70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FISSO",IF(AND(A70="",B70=""),"",IF(OR(A70="",B70="",C70=""),"COMPLETARE VOCE PERSONA RUOLO",IF(COUNTIFS($AA$6:$AA$105,AA70)&gt;1,"PERSONA RIPETUTA NELLA VOCE",IF(INDEX(Voci!$F$6:$F$24,MATCH(A70,Voci!$A$6:$A$24,0))&lt;&gt;"Interna","VOCE NON INTERNA",IF(OR(AND(C70="RUP",B70&lt;&gt;Procedura!$B$28),AND(C70="Responsabile fase",OR(Procedura!$B$29&lt;&gt;"Si",B70&lt;&gt;Procedura!$B$30)),AND(OR(OR(AND(Procedura!$B$10="Lavori",AC70=10),AND(Procedura!$B$10&lt;&gt;"Lavori",AC70=2)),IF(Procedura!$B$10="Lavori",OR(AC70=3,AC70=13),AC70=5)),NOT(OR(C70="RUP",AND(OR(AND(Procedura!$B$10="Lavori",AC70=10),AND(Procedura!$B$10&lt;&gt;"Lavori",AC70=2)),C70="Responsabile fase",Procedura!$B$29="Si")))),AND(IF(Procedura!$B$10="Lavori",OR(AC70=4,AC70=11,AC70=14),OR(AC70=3,AC70=6)),NOT(OR(C70="Supporto",C70="Altro",C70="Responsabile fase")))),"RUOLO NON COERENTE",IF(AND(IF(Procedura!$B$10="Lavori",OR(AC70=4,AC70=11,AC70=14),OR(AC70=3,AC70=6)),B70=Procedura!$B$28),"RUP E COLLABORAZIONE INCOMPATIBILI",IF(AND(AG70&gt;0,AG70&lt;&gt;AF70),"PESI MANUALI SOLO SU ALCUNE RIGHE",IF(AND(J70&gt;0,NOT(AND(Procedura!$B$10="Lavori",OR(AC70=5,AC70=6)))),"RITARDO PROGETTAZIONE NON PERTINENTE",IF(AND(M70&gt;0,M70&lt;5%),"CARENZE INFERIORI AL 5%",IF(AND(OR(J70&gt;0,K70&gt;0,L70&gt;0,M70&gt;0,I70="Si"),N70=""),"MOTIVARE ESCLUSIONE O RIDUZIONE",IF(AND(G70&gt;0,H70="Da verificare"),"ATTESTAZIONE DA ACQUISIRE",IF(AND(G70&gt;0,H70="Si",N70=""),"INDICARE ATTI ATTIVITA","COERENTE"))))))))))))))</f>
        <v/>
      </c>
      <c r="AA70" s="2" t="str">
        <f t="shared" ref="AA70:AA105" si="39">IF(OR(A70="",B70=""),"",A70&amp;"/"&amp;B70)</f>
        <v/>
      </c>
      <c r="AB70" s="2" t="str">
        <f>IF(A70="","",INDEX(Voci!$C$6:$C$24,MATCH(A70,Voci!$A$6:$A$24,0)))</f>
        <v/>
      </c>
      <c r="AC70" s="2">
        <f>IF(A70="",0,INDEX(Voci!$B$6:$B$24,MATCH(A70,Voci!$A$6:$A$24,0)))</f>
        <v>0</v>
      </c>
      <c r="AD70" s="2">
        <f t="shared" ref="AD70:AD105" si="40">COUNTIFS($A$6:$A$105,A70,$C$6:$C$105,"Supporto")+COUNTIFS($A$6:$A$105,A70,$C$6:$C$105,"Responsabile fase")</f>
        <v>0</v>
      </c>
      <c r="AE70" s="2">
        <f t="shared" ref="AE70:AE105" si="41">COUNTIFS($A$6:$A$105,A70,$C$6:$C$105,"Altro")</f>
        <v>0</v>
      </c>
      <c r="AF70" s="2">
        <f t="shared" ref="AF70:AF105" si="42">COUNTIFS($A$6:$A$105,A70,$B$6:$B$105,"&lt;&gt;")</f>
        <v>0</v>
      </c>
      <c r="AG70" s="2">
        <f t="shared" ref="AG70:AG105" si="43">COUNTIFS($A$6:$A$105,A70,$D$6:$D$105,"&gt;=0",$D$6:$D$105,"&lt;&gt;")</f>
        <v>0</v>
      </c>
      <c r="AH70">
        <f t="shared" ref="AH70:AH105" si="44">IF(OR(Z70="",Z70="COERENTE"),0,1)</f>
        <v>0</v>
      </c>
    </row>
    <row r="71" spans="1:34" ht="24" customHeight="1">
      <c r="A71" s="5"/>
      <c r="B71" s="5"/>
      <c r="C71" s="5"/>
      <c r="D71" s="8"/>
      <c r="E71" s="10">
        <f>IF(OR(A71="",B71=""),0,IF(ISNUMBER(D71),D71,IF(OR(AND(Procedura!$B$10="Lavori",AC71=10),AND(Procedura!$B$10&lt;&gt;"Lavori",AC71=2)),IF(Procedura!$B$29="Si",IF(C71="RUP",IF(Procedura!$B$10="Lavori",20%,IF(Voci!$M$7&gt;0,(Voci!$J$7*(1-Procedura!$B$39)+(Voci!$J$7*Procedura!$B$39-Voci!$L$7)*20%)/Voci!$M$7,0)),IF(C71="Responsabile fase",IF(Procedura!$B$10="Lavori",80%,IF(Voci!$M$7&gt;0,(Voci!$J$7*Procedura!$B$39-Voci!$L$7)*80%/Voci!$M$7,0)),0)),IF(C71="RUP",1,0)),IF(IF(Procedura!$B$10="Lavori",OR(AC71=3,AC71=13),AC71=5),IF(C71="RUP",1,0),IF(IF(Procedura!$B$10="Lavori",OR(AC71=4,AC71=11,AC71=14),OR(AC71=3,AC71=6)),IF(AND(AD71&gt;0,AE71&gt;0),IF(OR(C71="Supporto",C71="Responsabile fase"),60%/AD71,IF(C71="Altro",40%/AE71,0)),IF(AF71&gt;0,1/AF71,0)),IF(AF71&gt;0,1/AF71,0))))))</f>
        <v>0</v>
      </c>
      <c r="F71" s="11">
        <f>IF(A71="",0,INDEX(Voci!$M$6:$M$24,MATCH(A71,Voci!$A$6:$A$24,0))*E71)</f>
        <v>0</v>
      </c>
      <c r="G71" s="11">
        <f>IF(A71="",0,INDEX(Voci!$O$6:$O$24,MATCH(A71,Voci!$A$6:$A$24,0))*E71)</f>
        <v>0</v>
      </c>
      <c r="H71" s="5" t="s">
        <v>60</v>
      </c>
      <c r="I71" s="5" t="s">
        <v>67</v>
      </c>
      <c r="J71" s="8">
        <v>0</v>
      </c>
      <c r="K71" s="8">
        <v>0</v>
      </c>
      <c r="L71" s="8">
        <v>0</v>
      </c>
      <c r="M71" s="8">
        <v>0</v>
      </c>
      <c r="N71" s="5"/>
      <c r="O71" s="10">
        <f t="shared" si="30"/>
        <v>0</v>
      </c>
      <c r="P71" s="10">
        <f t="shared" si="31"/>
        <v>0</v>
      </c>
      <c r="Q71" s="10">
        <f t="shared" si="32"/>
        <v>0</v>
      </c>
      <c r="R71" s="10">
        <f t="shared" si="33"/>
        <v>0</v>
      </c>
      <c r="S71" s="11">
        <f t="shared" si="34"/>
        <v>0</v>
      </c>
      <c r="T71" s="11">
        <f t="shared" si="35"/>
        <v>0</v>
      </c>
      <c r="U71" s="11">
        <f t="shared" si="36"/>
        <v>0</v>
      </c>
      <c r="V71" s="10">
        <f>IF(B71="",0,INDEX(Personale!$F$6:$F$25,MATCH(B71,Personale!$A$6:$A$25,0)))</f>
        <v>0</v>
      </c>
      <c r="W71" s="11">
        <f t="shared" si="37"/>
        <v>0</v>
      </c>
      <c r="X71" s="11">
        <f t="shared" si="38"/>
        <v>0</v>
      </c>
      <c r="Y71" s="11">
        <f>IF(B71="",0,W71*INDEX(Personale!$G$6:$G$25,MATCH(B71,Personale!$A$6:$A$25,0)))</f>
        <v>0</v>
      </c>
      <c r="Z71" s="2" t="str">
        <f>IF(AND(A71&lt;&gt;"",Procedura!$B$10&lt;&gt;"Lavori",AC71=7,B71=Procedura!$B$28),"DEC DEVE ESSERE DIVERSO DAL RUP",IF(AND(ISNUMBER(D71),OR(OR(AND(Procedura!$B$10="Lavori",AC71=10),AND(Procedura!$B$10&lt;&gt;"Lavori",AC71=2)),IF(Procedura!$B$10="Lavori",OR(AC71=3,AC71=13),AC71=5)),ABS(E71-IF(IF(Procedura!$B$10="Lavori",OR(AC71=3,AC71=13),AC71=5),1,IF(Procedura!$B$29="No",1,IF(C71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FISSO",IF(AND(A71="",B71=""),"",IF(OR(A71="",B71="",C71=""),"COMPLETARE VOCE PERSONA RUOLO",IF(COUNTIFS($AA$6:$AA$105,AA71)&gt;1,"PERSONA RIPETUTA NELLA VOCE",IF(INDEX(Voci!$F$6:$F$24,MATCH(A71,Voci!$A$6:$A$24,0))&lt;&gt;"Interna","VOCE NON INTERNA",IF(OR(AND(C71="RUP",B71&lt;&gt;Procedura!$B$28),AND(C71="Responsabile fase",OR(Procedura!$B$29&lt;&gt;"Si",B71&lt;&gt;Procedura!$B$30)),AND(OR(OR(AND(Procedura!$B$10="Lavori",AC71=10),AND(Procedura!$B$10&lt;&gt;"Lavori",AC71=2)),IF(Procedura!$B$10="Lavori",OR(AC71=3,AC71=13),AC71=5)),NOT(OR(C71="RUP",AND(OR(AND(Procedura!$B$10="Lavori",AC71=10),AND(Procedura!$B$10&lt;&gt;"Lavori",AC71=2)),C71="Responsabile fase",Procedura!$B$29="Si")))),AND(IF(Procedura!$B$10="Lavori",OR(AC71=4,AC71=11,AC71=14),OR(AC71=3,AC71=6)),NOT(OR(C71="Supporto",C71="Altro",C71="Responsabile fase")))),"RUOLO NON COERENTE",IF(AND(IF(Procedura!$B$10="Lavori",OR(AC71=4,AC71=11,AC71=14),OR(AC71=3,AC71=6)),B71=Procedura!$B$28),"RUP E COLLABORAZIONE INCOMPATIBILI",IF(AND(AG71&gt;0,AG71&lt;&gt;AF71),"PESI MANUALI SOLO SU ALCUNE RIGHE",IF(AND(J71&gt;0,NOT(AND(Procedura!$B$10="Lavori",OR(AC71=5,AC71=6)))),"RITARDO PROGETTAZIONE NON PERTINENTE",IF(AND(M71&gt;0,M71&lt;5%),"CARENZE INFERIORI AL 5%",IF(AND(OR(J71&gt;0,K71&gt;0,L71&gt;0,M71&gt;0,I71="Si"),N71=""),"MOTIVARE ESCLUSIONE O RIDUZIONE",IF(AND(G71&gt;0,H71="Da verificare"),"ATTESTAZIONE DA ACQUISIRE",IF(AND(G71&gt;0,H71="Si",N71=""),"INDICARE ATTI ATTIVITA","COERENTE"))))))))))))))</f>
        <v/>
      </c>
      <c r="AA71" s="2" t="str">
        <f t="shared" si="39"/>
        <v/>
      </c>
      <c r="AB71" s="2" t="str">
        <f>IF(A71="","",INDEX(Voci!$C$6:$C$24,MATCH(A71,Voci!$A$6:$A$24,0)))</f>
        <v/>
      </c>
      <c r="AC71" s="2">
        <f>IF(A71="",0,INDEX(Voci!$B$6:$B$24,MATCH(A71,Voci!$A$6:$A$24,0)))</f>
        <v>0</v>
      </c>
      <c r="AD71" s="2">
        <f t="shared" si="40"/>
        <v>0</v>
      </c>
      <c r="AE71" s="2">
        <f t="shared" si="41"/>
        <v>0</v>
      </c>
      <c r="AF71" s="2">
        <f t="shared" si="42"/>
        <v>0</v>
      </c>
      <c r="AG71" s="2">
        <f t="shared" si="43"/>
        <v>0</v>
      </c>
      <c r="AH71">
        <f t="shared" si="44"/>
        <v>0</v>
      </c>
    </row>
    <row r="72" spans="1:34" ht="24" customHeight="1">
      <c r="A72" s="5"/>
      <c r="B72" s="5"/>
      <c r="C72" s="5"/>
      <c r="D72" s="8"/>
      <c r="E72" s="10">
        <f>IF(OR(A72="",B72=""),0,IF(ISNUMBER(D72),D72,IF(OR(AND(Procedura!$B$10="Lavori",AC72=10),AND(Procedura!$B$10&lt;&gt;"Lavori",AC72=2)),IF(Procedura!$B$29="Si",IF(C72="RUP",IF(Procedura!$B$10="Lavori",20%,IF(Voci!$M$7&gt;0,(Voci!$J$7*(1-Procedura!$B$39)+(Voci!$J$7*Procedura!$B$39-Voci!$L$7)*20%)/Voci!$M$7,0)),IF(C72="Responsabile fase",IF(Procedura!$B$10="Lavori",80%,IF(Voci!$M$7&gt;0,(Voci!$J$7*Procedura!$B$39-Voci!$L$7)*80%/Voci!$M$7,0)),0)),IF(C72="RUP",1,0)),IF(IF(Procedura!$B$10="Lavori",OR(AC72=3,AC72=13),AC72=5),IF(C72="RUP",1,0),IF(IF(Procedura!$B$10="Lavori",OR(AC72=4,AC72=11,AC72=14),OR(AC72=3,AC72=6)),IF(AND(AD72&gt;0,AE72&gt;0),IF(OR(C72="Supporto",C72="Responsabile fase"),60%/AD72,IF(C72="Altro",40%/AE72,0)),IF(AF72&gt;0,1/AF72,0)),IF(AF72&gt;0,1/AF72,0))))))</f>
        <v>0</v>
      </c>
      <c r="F72" s="11">
        <f>IF(A72="",0,INDEX(Voci!$M$6:$M$24,MATCH(A72,Voci!$A$6:$A$24,0))*E72)</f>
        <v>0</v>
      </c>
      <c r="G72" s="11">
        <f>IF(A72="",0,INDEX(Voci!$O$6:$O$24,MATCH(A72,Voci!$A$6:$A$24,0))*E72)</f>
        <v>0</v>
      </c>
      <c r="H72" s="5" t="s">
        <v>60</v>
      </c>
      <c r="I72" s="5" t="s">
        <v>67</v>
      </c>
      <c r="J72" s="8">
        <v>0</v>
      </c>
      <c r="K72" s="8">
        <v>0</v>
      </c>
      <c r="L72" s="8">
        <v>0</v>
      </c>
      <c r="M72" s="8">
        <v>0</v>
      </c>
      <c r="N72" s="5"/>
      <c r="O72" s="10">
        <f t="shared" si="30"/>
        <v>0</v>
      </c>
      <c r="P72" s="10">
        <f t="shared" si="31"/>
        <v>0</v>
      </c>
      <c r="Q72" s="10">
        <f t="shared" si="32"/>
        <v>0</v>
      </c>
      <c r="R72" s="10">
        <f t="shared" si="33"/>
        <v>0</v>
      </c>
      <c r="S72" s="11">
        <f t="shared" si="34"/>
        <v>0</v>
      </c>
      <c r="T72" s="11">
        <f t="shared" si="35"/>
        <v>0</v>
      </c>
      <c r="U72" s="11">
        <f t="shared" si="36"/>
        <v>0</v>
      </c>
      <c r="V72" s="10">
        <f>IF(B72="",0,INDEX(Personale!$F$6:$F$25,MATCH(B72,Personale!$A$6:$A$25,0)))</f>
        <v>0</v>
      </c>
      <c r="W72" s="11">
        <f t="shared" si="37"/>
        <v>0</v>
      </c>
      <c r="X72" s="11">
        <f t="shared" si="38"/>
        <v>0</v>
      </c>
      <c r="Y72" s="11">
        <f>IF(B72="",0,W72*INDEX(Personale!$G$6:$G$25,MATCH(B72,Personale!$A$6:$A$25,0)))</f>
        <v>0</v>
      </c>
      <c r="Z72" s="2" t="str">
        <f>IF(AND(A72&lt;&gt;"",Procedura!$B$10&lt;&gt;"Lavori",AC72=7,B72=Procedura!$B$28),"DEC DEVE ESSERE DIVERSO DAL RUP",IF(AND(ISNUMBER(D72),OR(OR(AND(Procedura!$B$10="Lavori",AC72=10),AND(Procedura!$B$10&lt;&gt;"Lavori",AC72=2)),IF(Procedura!$B$10="Lavori",OR(AC72=3,AC72=13),AC72=5)),ABS(E72-IF(IF(Procedura!$B$10="Lavori",OR(AC72=3,AC72=13),AC72=5),1,IF(Procedura!$B$29="No",1,IF(C72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FISSO",IF(AND(A72="",B72=""),"",IF(OR(A72="",B72="",C72=""),"COMPLETARE VOCE PERSONA RUOLO",IF(COUNTIFS($AA$6:$AA$105,AA72)&gt;1,"PERSONA RIPETUTA NELLA VOCE",IF(INDEX(Voci!$F$6:$F$24,MATCH(A72,Voci!$A$6:$A$24,0))&lt;&gt;"Interna","VOCE NON INTERNA",IF(OR(AND(C72="RUP",B72&lt;&gt;Procedura!$B$28),AND(C72="Responsabile fase",OR(Procedura!$B$29&lt;&gt;"Si",B72&lt;&gt;Procedura!$B$30)),AND(OR(OR(AND(Procedura!$B$10="Lavori",AC72=10),AND(Procedura!$B$10&lt;&gt;"Lavori",AC72=2)),IF(Procedura!$B$10="Lavori",OR(AC72=3,AC72=13),AC72=5)),NOT(OR(C72="RUP",AND(OR(AND(Procedura!$B$10="Lavori",AC72=10),AND(Procedura!$B$10&lt;&gt;"Lavori",AC72=2)),C72="Responsabile fase",Procedura!$B$29="Si")))),AND(IF(Procedura!$B$10="Lavori",OR(AC72=4,AC72=11,AC72=14),OR(AC72=3,AC72=6)),NOT(OR(C72="Supporto",C72="Altro",C72="Responsabile fase")))),"RUOLO NON COERENTE",IF(AND(IF(Procedura!$B$10="Lavori",OR(AC72=4,AC72=11,AC72=14),OR(AC72=3,AC72=6)),B72=Procedura!$B$28),"RUP E COLLABORAZIONE INCOMPATIBILI",IF(AND(AG72&gt;0,AG72&lt;&gt;AF72),"PESI MANUALI SOLO SU ALCUNE RIGHE",IF(AND(J72&gt;0,NOT(AND(Procedura!$B$10="Lavori",OR(AC72=5,AC72=6)))),"RITARDO PROGETTAZIONE NON PERTINENTE",IF(AND(M72&gt;0,M72&lt;5%),"CARENZE INFERIORI AL 5%",IF(AND(OR(J72&gt;0,K72&gt;0,L72&gt;0,M72&gt;0,I72="Si"),N72=""),"MOTIVARE ESCLUSIONE O RIDUZIONE",IF(AND(G72&gt;0,H72="Da verificare"),"ATTESTAZIONE DA ACQUISIRE",IF(AND(G72&gt;0,H72="Si",N72=""),"INDICARE ATTI ATTIVITA","COERENTE"))))))))))))))</f>
        <v/>
      </c>
      <c r="AA72" s="2" t="str">
        <f t="shared" si="39"/>
        <v/>
      </c>
      <c r="AB72" s="2" t="str">
        <f>IF(A72="","",INDEX(Voci!$C$6:$C$24,MATCH(A72,Voci!$A$6:$A$24,0)))</f>
        <v/>
      </c>
      <c r="AC72" s="2">
        <f>IF(A72="",0,INDEX(Voci!$B$6:$B$24,MATCH(A72,Voci!$A$6:$A$24,0)))</f>
        <v>0</v>
      </c>
      <c r="AD72" s="2">
        <f t="shared" si="40"/>
        <v>0</v>
      </c>
      <c r="AE72" s="2">
        <f t="shared" si="41"/>
        <v>0</v>
      </c>
      <c r="AF72" s="2">
        <f t="shared" si="42"/>
        <v>0</v>
      </c>
      <c r="AG72" s="2">
        <f t="shared" si="43"/>
        <v>0</v>
      </c>
      <c r="AH72">
        <f t="shared" si="44"/>
        <v>0</v>
      </c>
    </row>
    <row r="73" spans="1:34" ht="24" customHeight="1">
      <c r="A73" s="5"/>
      <c r="B73" s="5"/>
      <c r="C73" s="5"/>
      <c r="D73" s="8"/>
      <c r="E73" s="10">
        <f>IF(OR(A73="",B73=""),0,IF(ISNUMBER(D73),D73,IF(OR(AND(Procedura!$B$10="Lavori",AC73=10),AND(Procedura!$B$10&lt;&gt;"Lavori",AC73=2)),IF(Procedura!$B$29="Si",IF(C73="RUP",IF(Procedura!$B$10="Lavori",20%,IF(Voci!$M$7&gt;0,(Voci!$J$7*(1-Procedura!$B$39)+(Voci!$J$7*Procedura!$B$39-Voci!$L$7)*20%)/Voci!$M$7,0)),IF(C73="Responsabile fase",IF(Procedura!$B$10="Lavori",80%,IF(Voci!$M$7&gt;0,(Voci!$J$7*Procedura!$B$39-Voci!$L$7)*80%/Voci!$M$7,0)),0)),IF(C73="RUP",1,0)),IF(IF(Procedura!$B$10="Lavori",OR(AC73=3,AC73=13),AC73=5),IF(C73="RUP",1,0),IF(IF(Procedura!$B$10="Lavori",OR(AC73=4,AC73=11,AC73=14),OR(AC73=3,AC73=6)),IF(AND(AD73&gt;0,AE73&gt;0),IF(OR(C73="Supporto",C73="Responsabile fase"),60%/AD73,IF(C73="Altro",40%/AE73,0)),IF(AF73&gt;0,1/AF73,0)),IF(AF73&gt;0,1/AF73,0))))))</f>
        <v>0</v>
      </c>
      <c r="F73" s="11">
        <f>IF(A73="",0,INDEX(Voci!$M$6:$M$24,MATCH(A73,Voci!$A$6:$A$24,0))*E73)</f>
        <v>0</v>
      </c>
      <c r="G73" s="11">
        <f>IF(A73="",0,INDEX(Voci!$O$6:$O$24,MATCH(A73,Voci!$A$6:$A$24,0))*E73)</f>
        <v>0</v>
      </c>
      <c r="H73" s="5" t="s">
        <v>60</v>
      </c>
      <c r="I73" s="5" t="s">
        <v>67</v>
      </c>
      <c r="J73" s="8">
        <v>0</v>
      </c>
      <c r="K73" s="8">
        <v>0</v>
      </c>
      <c r="L73" s="8">
        <v>0</v>
      </c>
      <c r="M73" s="8">
        <v>0</v>
      </c>
      <c r="N73" s="5"/>
      <c r="O73" s="10">
        <f t="shared" si="30"/>
        <v>0</v>
      </c>
      <c r="P73" s="10">
        <f t="shared" si="31"/>
        <v>0</v>
      </c>
      <c r="Q73" s="10">
        <f t="shared" si="32"/>
        <v>0</v>
      </c>
      <c r="R73" s="10">
        <f t="shared" si="33"/>
        <v>0</v>
      </c>
      <c r="S73" s="11">
        <f t="shared" si="34"/>
        <v>0</v>
      </c>
      <c r="T73" s="11">
        <f t="shared" si="35"/>
        <v>0</v>
      </c>
      <c r="U73" s="11">
        <f t="shared" si="36"/>
        <v>0</v>
      </c>
      <c r="V73" s="10">
        <f>IF(B73="",0,INDEX(Personale!$F$6:$F$25,MATCH(B73,Personale!$A$6:$A$25,0)))</f>
        <v>0</v>
      </c>
      <c r="W73" s="11">
        <f t="shared" si="37"/>
        <v>0</v>
      </c>
      <c r="X73" s="11">
        <f t="shared" si="38"/>
        <v>0</v>
      </c>
      <c r="Y73" s="11">
        <f>IF(B73="",0,W73*INDEX(Personale!$G$6:$G$25,MATCH(B73,Personale!$A$6:$A$25,0)))</f>
        <v>0</v>
      </c>
      <c r="Z73" s="2" t="str">
        <f>IF(AND(A73&lt;&gt;"",Procedura!$B$10&lt;&gt;"Lavori",AC73=7,B73=Procedura!$B$28),"DEC DEVE ESSERE DIVERSO DAL RUP",IF(AND(ISNUMBER(D73),OR(OR(AND(Procedura!$B$10="Lavori",AC73=10),AND(Procedura!$B$10&lt;&gt;"Lavori",AC73=2)),IF(Procedura!$B$10="Lavori",OR(AC73=3,AC73=13),AC73=5)),ABS(E73-IF(IF(Procedura!$B$10="Lavori",OR(AC73=3,AC73=13),AC73=5),1,IF(Procedura!$B$29="No",1,IF(C73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FISSO",IF(AND(A73="",B73=""),"",IF(OR(A73="",B73="",C73=""),"COMPLETARE VOCE PERSONA RUOLO",IF(COUNTIFS($AA$6:$AA$105,AA73)&gt;1,"PERSONA RIPETUTA NELLA VOCE",IF(INDEX(Voci!$F$6:$F$24,MATCH(A73,Voci!$A$6:$A$24,0))&lt;&gt;"Interna","VOCE NON INTERNA",IF(OR(AND(C73="RUP",B73&lt;&gt;Procedura!$B$28),AND(C73="Responsabile fase",OR(Procedura!$B$29&lt;&gt;"Si",B73&lt;&gt;Procedura!$B$30)),AND(OR(OR(AND(Procedura!$B$10="Lavori",AC73=10),AND(Procedura!$B$10&lt;&gt;"Lavori",AC73=2)),IF(Procedura!$B$10="Lavori",OR(AC73=3,AC73=13),AC73=5)),NOT(OR(C73="RUP",AND(OR(AND(Procedura!$B$10="Lavori",AC73=10),AND(Procedura!$B$10&lt;&gt;"Lavori",AC73=2)),C73="Responsabile fase",Procedura!$B$29="Si")))),AND(IF(Procedura!$B$10="Lavori",OR(AC73=4,AC73=11,AC73=14),OR(AC73=3,AC73=6)),NOT(OR(C73="Supporto",C73="Altro",C73="Responsabile fase")))),"RUOLO NON COERENTE",IF(AND(IF(Procedura!$B$10="Lavori",OR(AC73=4,AC73=11,AC73=14),OR(AC73=3,AC73=6)),B73=Procedura!$B$28),"RUP E COLLABORAZIONE INCOMPATIBILI",IF(AND(AG73&gt;0,AG73&lt;&gt;AF73),"PESI MANUALI SOLO SU ALCUNE RIGHE",IF(AND(J73&gt;0,NOT(AND(Procedura!$B$10="Lavori",OR(AC73=5,AC73=6)))),"RITARDO PROGETTAZIONE NON PERTINENTE",IF(AND(M73&gt;0,M73&lt;5%),"CARENZE INFERIORI AL 5%",IF(AND(OR(J73&gt;0,K73&gt;0,L73&gt;0,M73&gt;0,I73="Si"),N73=""),"MOTIVARE ESCLUSIONE O RIDUZIONE",IF(AND(G73&gt;0,H73="Da verificare"),"ATTESTAZIONE DA ACQUISIRE",IF(AND(G73&gt;0,H73="Si",N73=""),"INDICARE ATTI ATTIVITA","COERENTE"))))))))))))))</f>
        <v/>
      </c>
      <c r="AA73" s="2" t="str">
        <f t="shared" si="39"/>
        <v/>
      </c>
      <c r="AB73" s="2" t="str">
        <f>IF(A73="","",INDEX(Voci!$C$6:$C$24,MATCH(A73,Voci!$A$6:$A$24,0)))</f>
        <v/>
      </c>
      <c r="AC73" s="2">
        <f>IF(A73="",0,INDEX(Voci!$B$6:$B$24,MATCH(A73,Voci!$A$6:$A$24,0)))</f>
        <v>0</v>
      </c>
      <c r="AD73" s="2">
        <f t="shared" si="40"/>
        <v>0</v>
      </c>
      <c r="AE73" s="2">
        <f t="shared" si="41"/>
        <v>0</v>
      </c>
      <c r="AF73" s="2">
        <f t="shared" si="42"/>
        <v>0</v>
      </c>
      <c r="AG73" s="2">
        <f t="shared" si="43"/>
        <v>0</v>
      </c>
      <c r="AH73">
        <f t="shared" si="44"/>
        <v>0</v>
      </c>
    </row>
    <row r="74" spans="1:34" ht="24" customHeight="1">
      <c r="A74" s="5"/>
      <c r="B74" s="5"/>
      <c r="C74" s="5"/>
      <c r="D74" s="8"/>
      <c r="E74" s="10">
        <f>IF(OR(A74="",B74=""),0,IF(ISNUMBER(D74),D74,IF(OR(AND(Procedura!$B$10="Lavori",AC74=10),AND(Procedura!$B$10&lt;&gt;"Lavori",AC74=2)),IF(Procedura!$B$29="Si",IF(C74="RUP",IF(Procedura!$B$10="Lavori",20%,IF(Voci!$M$7&gt;0,(Voci!$J$7*(1-Procedura!$B$39)+(Voci!$J$7*Procedura!$B$39-Voci!$L$7)*20%)/Voci!$M$7,0)),IF(C74="Responsabile fase",IF(Procedura!$B$10="Lavori",80%,IF(Voci!$M$7&gt;0,(Voci!$J$7*Procedura!$B$39-Voci!$L$7)*80%/Voci!$M$7,0)),0)),IF(C74="RUP",1,0)),IF(IF(Procedura!$B$10="Lavori",OR(AC74=3,AC74=13),AC74=5),IF(C74="RUP",1,0),IF(IF(Procedura!$B$10="Lavori",OR(AC74=4,AC74=11,AC74=14),OR(AC74=3,AC74=6)),IF(AND(AD74&gt;0,AE74&gt;0),IF(OR(C74="Supporto",C74="Responsabile fase"),60%/AD74,IF(C74="Altro",40%/AE74,0)),IF(AF74&gt;0,1/AF74,0)),IF(AF74&gt;0,1/AF74,0))))))</f>
        <v>0</v>
      </c>
      <c r="F74" s="11">
        <f>IF(A74="",0,INDEX(Voci!$M$6:$M$24,MATCH(A74,Voci!$A$6:$A$24,0))*E74)</f>
        <v>0</v>
      </c>
      <c r="G74" s="11">
        <f>IF(A74="",0,INDEX(Voci!$O$6:$O$24,MATCH(A74,Voci!$A$6:$A$24,0))*E74)</f>
        <v>0</v>
      </c>
      <c r="H74" s="5" t="s">
        <v>60</v>
      </c>
      <c r="I74" s="5" t="s">
        <v>67</v>
      </c>
      <c r="J74" s="8">
        <v>0</v>
      </c>
      <c r="K74" s="8">
        <v>0</v>
      </c>
      <c r="L74" s="8">
        <v>0</v>
      </c>
      <c r="M74" s="8">
        <v>0</v>
      </c>
      <c r="N74" s="5"/>
      <c r="O74" s="10">
        <f t="shared" si="30"/>
        <v>0</v>
      </c>
      <c r="P74" s="10">
        <f t="shared" si="31"/>
        <v>0</v>
      </c>
      <c r="Q74" s="10">
        <f t="shared" si="32"/>
        <v>0</v>
      </c>
      <c r="R74" s="10">
        <f t="shared" si="33"/>
        <v>0</v>
      </c>
      <c r="S74" s="11">
        <f t="shared" si="34"/>
        <v>0</v>
      </c>
      <c r="T74" s="11">
        <f t="shared" si="35"/>
        <v>0</v>
      </c>
      <c r="U74" s="11">
        <f t="shared" si="36"/>
        <v>0</v>
      </c>
      <c r="V74" s="10">
        <f>IF(B74="",0,INDEX(Personale!$F$6:$F$25,MATCH(B74,Personale!$A$6:$A$25,0)))</f>
        <v>0</v>
      </c>
      <c r="W74" s="11">
        <f t="shared" si="37"/>
        <v>0</v>
      </c>
      <c r="X74" s="11">
        <f t="shared" si="38"/>
        <v>0</v>
      </c>
      <c r="Y74" s="11">
        <f>IF(B74="",0,W74*INDEX(Personale!$G$6:$G$25,MATCH(B74,Personale!$A$6:$A$25,0)))</f>
        <v>0</v>
      </c>
      <c r="Z74" s="2" t="str">
        <f>IF(AND(A74&lt;&gt;"",Procedura!$B$10&lt;&gt;"Lavori",AC74=7,B74=Procedura!$B$28),"DEC DEVE ESSERE DIVERSO DAL RUP",IF(AND(ISNUMBER(D74),OR(OR(AND(Procedura!$B$10="Lavori",AC74=10),AND(Procedura!$B$10&lt;&gt;"Lavori",AC74=2)),IF(Procedura!$B$10="Lavori",OR(AC74=3,AC74=13),AC74=5)),ABS(E74-IF(IF(Procedura!$B$10="Lavori",OR(AC74=3,AC74=13),AC74=5),1,IF(Procedura!$B$29="No",1,IF(C74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FISSO",IF(AND(A74="",B74=""),"",IF(OR(A74="",B74="",C74=""),"COMPLETARE VOCE PERSONA RUOLO",IF(COUNTIFS($AA$6:$AA$105,AA74)&gt;1,"PERSONA RIPETUTA NELLA VOCE",IF(INDEX(Voci!$F$6:$F$24,MATCH(A74,Voci!$A$6:$A$24,0))&lt;&gt;"Interna","VOCE NON INTERNA",IF(OR(AND(C74="RUP",B74&lt;&gt;Procedura!$B$28),AND(C74="Responsabile fase",OR(Procedura!$B$29&lt;&gt;"Si",B74&lt;&gt;Procedura!$B$30)),AND(OR(OR(AND(Procedura!$B$10="Lavori",AC74=10),AND(Procedura!$B$10&lt;&gt;"Lavori",AC74=2)),IF(Procedura!$B$10="Lavori",OR(AC74=3,AC74=13),AC74=5)),NOT(OR(C74="RUP",AND(OR(AND(Procedura!$B$10="Lavori",AC74=10),AND(Procedura!$B$10&lt;&gt;"Lavori",AC74=2)),C74="Responsabile fase",Procedura!$B$29="Si")))),AND(IF(Procedura!$B$10="Lavori",OR(AC74=4,AC74=11,AC74=14),OR(AC74=3,AC74=6)),NOT(OR(C74="Supporto",C74="Altro",C74="Responsabile fase")))),"RUOLO NON COERENTE",IF(AND(IF(Procedura!$B$10="Lavori",OR(AC74=4,AC74=11,AC74=14),OR(AC74=3,AC74=6)),B74=Procedura!$B$28),"RUP E COLLABORAZIONE INCOMPATIBILI",IF(AND(AG74&gt;0,AG74&lt;&gt;AF74),"PESI MANUALI SOLO SU ALCUNE RIGHE",IF(AND(J74&gt;0,NOT(AND(Procedura!$B$10="Lavori",OR(AC74=5,AC74=6)))),"RITARDO PROGETTAZIONE NON PERTINENTE",IF(AND(M74&gt;0,M74&lt;5%),"CARENZE INFERIORI AL 5%",IF(AND(OR(J74&gt;0,K74&gt;0,L74&gt;0,M74&gt;0,I74="Si"),N74=""),"MOTIVARE ESCLUSIONE O RIDUZIONE",IF(AND(G74&gt;0,H74="Da verificare"),"ATTESTAZIONE DA ACQUISIRE",IF(AND(G74&gt;0,H74="Si",N74=""),"INDICARE ATTI ATTIVITA","COERENTE"))))))))))))))</f>
        <v/>
      </c>
      <c r="AA74" s="2" t="str">
        <f t="shared" si="39"/>
        <v/>
      </c>
      <c r="AB74" s="2" t="str">
        <f>IF(A74="","",INDEX(Voci!$C$6:$C$24,MATCH(A74,Voci!$A$6:$A$24,0)))</f>
        <v/>
      </c>
      <c r="AC74" s="2">
        <f>IF(A74="",0,INDEX(Voci!$B$6:$B$24,MATCH(A74,Voci!$A$6:$A$24,0)))</f>
        <v>0</v>
      </c>
      <c r="AD74" s="2">
        <f t="shared" si="40"/>
        <v>0</v>
      </c>
      <c r="AE74" s="2">
        <f t="shared" si="41"/>
        <v>0</v>
      </c>
      <c r="AF74" s="2">
        <f t="shared" si="42"/>
        <v>0</v>
      </c>
      <c r="AG74" s="2">
        <f t="shared" si="43"/>
        <v>0</v>
      </c>
      <c r="AH74">
        <f t="shared" si="44"/>
        <v>0</v>
      </c>
    </row>
    <row r="75" spans="1:34" ht="24" customHeight="1">
      <c r="A75" s="5"/>
      <c r="B75" s="5"/>
      <c r="C75" s="5"/>
      <c r="D75" s="8"/>
      <c r="E75" s="10">
        <f>IF(OR(A75="",B75=""),0,IF(ISNUMBER(D75),D75,IF(OR(AND(Procedura!$B$10="Lavori",AC75=10),AND(Procedura!$B$10&lt;&gt;"Lavori",AC75=2)),IF(Procedura!$B$29="Si",IF(C75="RUP",IF(Procedura!$B$10="Lavori",20%,IF(Voci!$M$7&gt;0,(Voci!$J$7*(1-Procedura!$B$39)+(Voci!$J$7*Procedura!$B$39-Voci!$L$7)*20%)/Voci!$M$7,0)),IF(C75="Responsabile fase",IF(Procedura!$B$10="Lavori",80%,IF(Voci!$M$7&gt;0,(Voci!$J$7*Procedura!$B$39-Voci!$L$7)*80%/Voci!$M$7,0)),0)),IF(C75="RUP",1,0)),IF(IF(Procedura!$B$10="Lavori",OR(AC75=3,AC75=13),AC75=5),IF(C75="RUP",1,0),IF(IF(Procedura!$B$10="Lavori",OR(AC75=4,AC75=11,AC75=14),OR(AC75=3,AC75=6)),IF(AND(AD75&gt;0,AE75&gt;0),IF(OR(C75="Supporto",C75="Responsabile fase"),60%/AD75,IF(C75="Altro",40%/AE75,0)),IF(AF75&gt;0,1/AF75,0)),IF(AF75&gt;0,1/AF75,0))))))</f>
        <v>0</v>
      </c>
      <c r="F75" s="11">
        <f>IF(A75="",0,INDEX(Voci!$M$6:$M$24,MATCH(A75,Voci!$A$6:$A$24,0))*E75)</f>
        <v>0</v>
      </c>
      <c r="G75" s="11">
        <f>IF(A75="",0,INDEX(Voci!$O$6:$O$24,MATCH(A75,Voci!$A$6:$A$24,0))*E75)</f>
        <v>0</v>
      </c>
      <c r="H75" s="5" t="s">
        <v>60</v>
      </c>
      <c r="I75" s="5" t="s">
        <v>67</v>
      </c>
      <c r="J75" s="8">
        <v>0</v>
      </c>
      <c r="K75" s="8">
        <v>0</v>
      </c>
      <c r="L75" s="8">
        <v>0</v>
      </c>
      <c r="M75" s="8">
        <v>0</v>
      </c>
      <c r="N75" s="5"/>
      <c r="O75" s="10">
        <f t="shared" si="30"/>
        <v>0</v>
      </c>
      <c r="P75" s="10">
        <f t="shared" si="31"/>
        <v>0</v>
      </c>
      <c r="Q75" s="10">
        <f t="shared" si="32"/>
        <v>0</v>
      </c>
      <c r="R75" s="10">
        <f t="shared" si="33"/>
        <v>0</v>
      </c>
      <c r="S75" s="11">
        <f t="shared" si="34"/>
        <v>0</v>
      </c>
      <c r="T75" s="11">
        <f t="shared" si="35"/>
        <v>0</v>
      </c>
      <c r="U75" s="11">
        <f t="shared" si="36"/>
        <v>0</v>
      </c>
      <c r="V75" s="10">
        <f>IF(B75="",0,INDEX(Personale!$F$6:$F$25,MATCH(B75,Personale!$A$6:$A$25,0)))</f>
        <v>0</v>
      </c>
      <c r="W75" s="11">
        <f t="shared" si="37"/>
        <v>0</v>
      </c>
      <c r="X75" s="11">
        <f t="shared" si="38"/>
        <v>0</v>
      </c>
      <c r="Y75" s="11">
        <f>IF(B75="",0,W75*INDEX(Personale!$G$6:$G$25,MATCH(B75,Personale!$A$6:$A$25,0)))</f>
        <v>0</v>
      </c>
      <c r="Z75" s="2" t="str">
        <f>IF(AND(A75&lt;&gt;"",Procedura!$B$10&lt;&gt;"Lavori",AC75=7,B75=Procedura!$B$28),"DEC DEVE ESSERE DIVERSO DAL RUP",IF(AND(ISNUMBER(D75),OR(OR(AND(Procedura!$B$10="Lavori",AC75=10),AND(Procedura!$B$10&lt;&gt;"Lavori",AC75=2)),IF(Procedura!$B$10="Lavori",OR(AC75=3,AC75=13),AC75=5)),ABS(E75-IF(IF(Procedura!$B$10="Lavori",OR(AC75=3,AC75=13),AC75=5),1,IF(Procedura!$B$29="No",1,IF(C75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FISSO",IF(AND(A75="",B75=""),"",IF(OR(A75="",B75="",C75=""),"COMPLETARE VOCE PERSONA RUOLO",IF(COUNTIFS($AA$6:$AA$105,AA75)&gt;1,"PERSONA RIPETUTA NELLA VOCE",IF(INDEX(Voci!$F$6:$F$24,MATCH(A75,Voci!$A$6:$A$24,0))&lt;&gt;"Interna","VOCE NON INTERNA",IF(OR(AND(C75="RUP",B75&lt;&gt;Procedura!$B$28),AND(C75="Responsabile fase",OR(Procedura!$B$29&lt;&gt;"Si",B75&lt;&gt;Procedura!$B$30)),AND(OR(OR(AND(Procedura!$B$10="Lavori",AC75=10),AND(Procedura!$B$10&lt;&gt;"Lavori",AC75=2)),IF(Procedura!$B$10="Lavori",OR(AC75=3,AC75=13),AC75=5)),NOT(OR(C75="RUP",AND(OR(AND(Procedura!$B$10="Lavori",AC75=10),AND(Procedura!$B$10&lt;&gt;"Lavori",AC75=2)),C75="Responsabile fase",Procedura!$B$29="Si")))),AND(IF(Procedura!$B$10="Lavori",OR(AC75=4,AC75=11,AC75=14),OR(AC75=3,AC75=6)),NOT(OR(C75="Supporto",C75="Altro",C75="Responsabile fase")))),"RUOLO NON COERENTE",IF(AND(IF(Procedura!$B$10="Lavori",OR(AC75=4,AC75=11,AC75=14),OR(AC75=3,AC75=6)),B75=Procedura!$B$28),"RUP E COLLABORAZIONE INCOMPATIBILI",IF(AND(AG75&gt;0,AG75&lt;&gt;AF75),"PESI MANUALI SOLO SU ALCUNE RIGHE",IF(AND(J75&gt;0,NOT(AND(Procedura!$B$10="Lavori",OR(AC75=5,AC75=6)))),"RITARDO PROGETTAZIONE NON PERTINENTE",IF(AND(M75&gt;0,M75&lt;5%),"CARENZE INFERIORI AL 5%",IF(AND(OR(J75&gt;0,K75&gt;0,L75&gt;0,M75&gt;0,I75="Si"),N75=""),"MOTIVARE ESCLUSIONE O RIDUZIONE",IF(AND(G75&gt;0,H75="Da verificare"),"ATTESTAZIONE DA ACQUISIRE",IF(AND(G75&gt;0,H75="Si",N75=""),"INDICARE ATTI ATTIVITA","COERENTE"))))))))))))))</f>
        <v/>
      </c>
      <c r="AA75" s="2" t="str">
        <f t="shared" si="39"/>
        <v/>
      </c>
      <c r="AB75" s="2" t="str">
        <f>IF(A75="","",INDEX(Voci!$C$6:$C$24,MATCH(A75,Voci!$A$6:$A$24,0)))</f>
        <v/>
      </c>
      <c r="AC75" s="2">
        <f>IF(A75="",0,INDEX(Voci!$B$6:$B$24,MATCH(A75,Voci!$A$6:$A$24,0)))</f>
        <v>0</v>
      </c>
      <c r="AD75" s="2">
        <f t="shared" si="40"/>
        <v>0</v>
      </c>
      <c r="AE75" s="2">
        <f t="shared" si="41"/>
        <v>0</v>
      </c>
      <c r="AF75" s="2">
        <f t="shared" si="42"/>
        <v>0</v>
      </c>
      <c r="AG75" s="2">
        <f t="shared" si="43"/>
        <v>0</v>
      </c>
      <c r="AH75">
        <f t="shared" si="44"/>
        <v>0</v>
      </c>
    </row>
    <row r="76" spans="1:34" ht="24" customHeight="1">
      <c r="A76" s="5"/>
      <c r="B76" s="5"/>
      <c r="C76" s="5"/>
      <c r="D76" s="8"/>
      <c r="E76" s="10">
        <f>IF(OR(A76="",B76=""),0,IF(ISNUMBER(D76),D76,IF(OR(AND(Procedura!$B$10="Lavori",AC76=10),AND(Procedura!$B$10&lt;&gt;"Lavori",AC76=2)),IF(Procedura!$B$29="Si",IF(C76="RUP",IF(Procedura!$B$10="Lavori",20%,IF(Voci!$M$7&gt;0,(Voci!$J$7*(1-Procedura!$B$39)+(Voci!$J$7*Procedura!$B$39-Voci!$L$7)*20%)/Voci!$M$7,0)),IF(C76="Responsabile fase",IF(Procedura!$B$10="Lavori",80%,IF(Voci!$M$7&gt;0,(Voci!$J$7*Procedura!$B$39-Voci!$L$7)*80%/Voci!$M$7,0)),0)),IF(C76="RUP",1,0)),IF(IF(Procedura!$B$10="Lavori",OR(AC76=3,AC76=13),AC76=5),IF(C76="RUP",1,0),IF(IF(Procedura!$B$10="Lavori",OR(AC76=4,AC76=11,AC76=14),OR(AC76=3,AC76=6)),IF(AND(AD76&gt;0,AE76&gt;0),IF(OR(C76="Supporto",C76="Responsabile fase"),60%/AD76,IF(C76="Altro",40%/AE76,0)),IF(AF76&gt;0,1/AF76,0)),IF(AF76&gt;0,1/AF76,0))))))</f>
        <v>0</v>
      </c>
      <c r="F76" s="11">
        <f>IF(A76="",0,INDEX(Voci!$M$6:$M$24,MATCH(A76,Voci!$A$6:$A$24,0))*E76)</f>
        <v>0</v>
      </c>
      <c r="G76" s="11">
        <f>IF(A76="",0,INDEX(Voci!$O$6:$O$24,MATCH(A76,Voci!$A$6:$A$24,0))*E76)</f>
        <v>0</v>
      </c>
      <c r="H76" s="5" t="s">
        <v>60</v>
      </c>
      <c r="I76" s="5" t="s">
        <v>67</v>
      </c>
      <c r="J76" s="8">
        <v>0</v>
      </c>
      <c r="K76" s="8">
        <v>0</v>
      </c>
      <c r="L76" s="8">
        <v>0</v>
      </c>
      <c r="M76" s="8">
        <v>0</v>
      </c>
      <c r="N76" s="5"/>
      <c r="O76" s="10">
        <f t="shared" si="30"/>
        <v>0</v>
      </c>
      <c r="P76" s="10">
        <f t="shared" si="31"/>
        <v>0</v>
      </c>
      <c r="Q76" s="10">
        <f t="shared" si="32"/>
        <v>0</v>
      </c>
      <c r="R76" s="10">
        <f t="shared" si="33"/>
        <v>0</v>
      </c>
      <c r="S76" s="11">
        <f t="shared" si="34"/>
        <v>0</v>
      </c>
      <c r="T76" s="11">
        <f t="shared" si="35"/>
        <v>0</v>
      </c>
      <c r="U76" s="11">
        <f t="shared" si="36"/>
        <v>0</v>
      </c>
      <c r="V76" s="10">
        <f>IF(B76="",0,INDEX(Personale!$F$6:$F$25,MATCH(B76,Personale!$A$6:$A$25,0)))</f>
        <v>0</v>
      </c>
      <c r="W76" s="11">
        <f t="shared" si="37"/>
        <v>0</v>
      </c>
      <c r="X76" s="11">
        <f t="shared" si="38"/>
        <v>0</v>
      </c>
      <c r="Y76" s="11">
        <f>IF(B76="",0,W76*INDEX(Personale!$G$6:$G$25,MATCH(B76,Personale!$A$6:$A$25,0)))</f>
        <v>0</v>
      </c>
      <c r="Z76" s="2" t="str">
        <f>IF(AND(A76&lt;&gt;"",Procedura!$B$10&lt;&gt;"Lavori",AC76=7,B76=Procedura!$B$28),"DEC DEVE ESSERE DIVERSO DAL RUP",IF(AND(ISNUMBER(D76),OR(OR(AND(Procedura!$B$10="Lavori",AC76=10),AND(Procedura!$B$10&lt;&gt;"Lavori",AC76=2)),IF(Procedura!$B$10="Lavori",OR(AC76=3,AC76=13),AC76=5)),ABS(E76-IF(IF(Procedura!$B$10="Lavori",OR(AC76=3,AC76=13),AC76=5),1,IF(Procedura!$B$29="No",1,IF(C76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FISSO",IF(AND(A76="",B76=""),"",IF(OR(A76="",B76="",C76=""),"COMPLETARE VOCE PERSONA RUOLO",IF(COUNTIFS($AA$6:$AA$105,AA76)&gt;1,"PERSONA RIPETUTA NELLA VOCE",IF(INDEX(Voci!$F$6:$F$24,MATCH(A76,Voci!$A$6:$A$24,0))&lt;&gt;"Interna","VOCE NON INTERNA",IF(OR(AND(C76="RUP",B76&lt;&gt;Procedura!$B$28),AND(C76="Responsabile fase",OR(Procedura!$B$29&lt;&gt;"Si",B76&lt;&gt;Procedura!$B$30)),AND(OR(OR(AND(Procedura!$B$10="Lavori",AC76=10),AND(Procedura!$B$10&lt;&gt;"Lavori",AC76=2)),IF(Procedura!$B$10="Lavori",OR(AC76=3,AC76=13),AC76=5)),NOT(OR(C76="RUP",AND(OR(AND(Procedura!$B$10="Lavori",AC76=10),AND(Procedura!$B$10&lt;&gt;"Lavori",AC76=2)),C76="Responsabile fase",Procedura!$B$29="Si")))),AND(IF(Procedura!$B$10="Lavori",OR(AC76=4,AC76=11,AC76=14),OR(AC76=3,AC76=6)),NOT(OR(C76="Supporto",C76="Altro",C76="Responsabile fase")))),"RUOLO NON COERENTE",IF(AND(IF(Procedura!$B$10="Lavori",OR(AC76=4,AC76=11,AC76=14),OR(AC76=3,AC76=6)),B76=Procedura!$B$28),"RUP E COLLABORAZIONE INCOMPATIBILI",IF(AND(AG76&gt;0,AG76&lt;&gt;AF76),"PESI MANUALI SOLO SU ALCUNE RIGHE",IF(AND(J76&gt;0,NOT(AND(Procedura!$B$10="Lavori",OR(AC76=5,AC76=6)))),"RITARDO PROGETTAZIONE NON PERTINENTE",IF(AND(M76&gt;0,M76&lt;5%),"CARENZE INFERIORI AL 5%",IF(AND(OR(J76&gt;0,K76&gt;0,L76&gt;0,M76&gt;0,I76="Si"),N76=""),"MOTIVARE ESCLUSIONE O RIDUZIONE",IF(AND(G76&gt;0,H76="Da verificare"),"ATTESTAZIONE DA ACQUISIRE",IF(AND(G76&gt;0,H76="Si",N76=""),"INDICARE ATTI ATTIVITA","COERENTE"))))))))))))))</f>
        <v/>
      </c>
      <c r="AA76" s="2" t="str">
        <f t="shared" si="39"/>
        <v/>
      </c>
      <c r="AB76" s="2" t="str">
        <f>IF(A76="","",INDEX(Voci!$C$6:$C$24,MATCH(A76,Voci!$A$6:$A$24,0)))</f>
        <v/>
      </c>
      <c r="AC76" s="2">
        <f>IF(A76="",0,INDEX(Voci!$B$6:$B$24,MATCH(A76,Voci!$A$6:$A$24,0)))</f>
        <v>0</v>
      </c>
      <c r="AD76" s="2">
        <f t="shared" si="40"/>
        <v>0</v>
      </c>
      <c r="AE76" s="2">
        <f t="shared" si="41"/>
        <v>0</v>
      </c>
      <c r="AF76" s="2">
        <f t="shared" si="42"/>
        <v>0</v>
      </c>
      <c r="AG76" s="2">
        <f t="shared" si="43"/>
        <v>0</v>
      </c>
      <c r="AH76">
        <f t="shared" si="44"/>
        <v>0</v>
      </c>
    </row>
    <row r="77" spans="1:34" ht="24" customHeight="1">
      <c r="A77" s="5"/>
      <c r="B77" s="5"/>
      <c r="C77" s="5"/>
      <c r="D77" s="8"/>
      <c r="E77" s="10">
        <f>IF(OR(A77="",B77=""),0,IF(ISNUMBER(D77),D77,IF(OR(AND(Procedura!$B$10="Lavori",AC77=10),AND(Procedura!$B$10&lt;&gt;"Lavori",AC77=2)),IF(Procedura!$B$29="Si",IF(C77="RUP",IF(Procedura!$B$10="Lavori",20%,IF(Voci!$M$7&gt;0,(Voci!$J$7*(1-Procedura!$B$39)+(Voci!$J$7*Procedura!$B$39-Voci!$L$7)*20%)/Voci!$M$7,0)),IF(C77="Responsabile fase",IF(Procedura!$B$10="Lavori",80%,IF(Voci!$M$7&gt;0,(Voci!$J$7*Procedura!$B$39-Voci!$L$7)*80%/Voci!$M$7,0)),0)),IF(C77="RUP",1,0)),IF(IF(Procedura!$B$10="Lavori",OR(AC77=3,AC77=13),AC77=5),IF(C77="RUP",1,0),IF(IF(Procedura!$B$10="Lavori",OR(AC77=4,AC77=11,AC77=14),OR(AC77=3,AC77=6)),IF(AND(AD77&gt;0,AE77&gt;0),IF(OR(C77="Supporto",C77="Responsabile fase"),60%/AD77,IF(C77="Altro",40%/AE77,0)),IF(AF77&gt;0,1/AF77,0)),IF(AF77&gt;0,1/AF77,0))))))</f>
        <v>0</v>
      </c>
      <c r="F77" s="11">
        <f>IF(A77="",0,INDEX(Voci!$M$6:$M$24,MATCH(A77,Voci!$A$6:$A$24,0))*E77)</f>
        <v>0</v>
      </c>
      <c r="G77" s="11">
        <f>IF(A77="",0,INDEX(Voci!$O$6:$O$24,MATCH(A77,Voci!$A$6:$A$24,0))*E77)</f>
        <v>0</v>
      </c>
      <c r="H77" s="5" t="s">
        <v>60</v>
      </c>
      <c r="I77" s="5" t="s">
        <v>67</v>
      </c>
      <c r="J77" s="8">
        <v>0</v>
      </c>
      <c r="K77" s="8">
        <v>0</v>
      </c>
      <c r="L77" s="8">
        <v>0</v>
      </c>
      <c r="M77" s="8">
        <v>0</v>
      </c>
      <c r="N77" s="5"/>
      <c r="O77" s="10">
        <f t="shared" si="30"/>
        <v>0</v>
      </c>
      <c r="P77" s="10">
        <f t="shared" si="31"/>
        <v>0</v>
      </c>
      <c r="Q77" s="10">
        <f t="shared" si="32"/>
        <v>0</v>
      </c>
      <c r="R77" s="10">
        <f t="shared" si="33"/>
        <v>0</v>
      </c>
      <c r="S77" s="11">
        <f t="shared" si="34"/>
        <v>0</v>
      </c>
      <c r="T77" s="11">
        <f t="shared" si="35"/>
        <v>0</v>
      </c>
      <c r="U77" s="11">
        <f t="shared" si="36"/>
        <v>0</v>
      </c>
      <c r="V77" s="10">
        <f>IF(B77="",0,INDEX(Personale!$F$6:$F$25,MATCH(B77,Personale!$A$6:$A$25,0)))</f>
        <v>0</v>
      </c>
      <c r="W77" s="11">
        <f t="shared" si="37"/>
        <v>0</v>
      </c>
      <c r="X77" s="11">
        <f t="shared" si="38"/>
        <v>0</v>
      </c>
      <c r="Y77" s="11">
        <f>IF(B77="",0,W77*INDEX(Personale!$G$6:$G$25,MATCH(B77,Personale!$A$6:$A$25,0)))</f>
        <v>0</v>
      </c>
      <c r="Z77" s="2" t="str">
        <f>IF(AND(A77&lt;&gt;"",Procedura!$B$10&lt;&gt;"Lavori",AC77=7,B77=Procedura!$B$28),"DEC DEVE ESSERE DIVERSO DAL RUP",IF(AND(ISNUMBER(D77),OR(OR(AND(Procedura!$B$10="Lavori",AC77=10),AND(Procedura!$B$10&lt;&gt;"Lavori",AC77=2)),IF(Procedura!$B$10="Lavori",OR(AC77=3,AC77=13),AC77=5)),ABS(E77-IF(IF(Procedura!$B$10="Lavori",OR(AC77=3,AC77=13),AC77=5),1,IF(Procedura!$B$29="No",1,IF(C77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FISSO",IF(AND(A77="",B77=""),"",IF(OR(A77="",B77="",C77=""),"COMPLETARE VOCE PERSONA RUOLO",IF(COUNTIFS($AA$6:$AA$105,AA77)&gt;1,"PERSONA RIPETUTA NELLA VOCE",IF(INDEX(Voci!$F$6:$F$24,MATCH(A77,Voci!$A$6:$A$24,0))&lt;&gt;"Interna","VOCE NON INTERNA",IF(OR(AND(C77="RUP",B77&lt;&gt;Procedura!$B$28),AND(C77="Responsabile fase",OR(Procedura!$B$29&lt;&gt;"Si",B77&lt;&gt;Procedura!$B$30)),AND(OR(OR(AND(Procedura!$B$10="Lavori",AC77=10),AND(Procedura!$B$10&lt;&gt;"Lavori",AC77=2)),IF(Procedura!$B$10="Lavori",OR(AC77=3,AC77=13),AC77=5)),NOT(OR(C77="RUP",AND(OR(AND(Procedura!$B$10="Lavori",AC77=10),AND(Procedura!$B$10&lt;&gt;"Lavori",AC77=2)),C77="Responsabile fase",Procedura!$B$29="Si")))),AND(IF(Procedura!$B$10="Lavori",OR(AC77=4,AC77=11,AC77=14),OR(AC77=3,AC77=6)),NOT(OR(C77="Supporto",C77="Altro",C77="Responsabile fase")))),"RUOLO NON COERENTE",IF(AND(IF(Procedura!$B$10="Lavori",OR(AC77=4,AC77=11,AC77=14),OR(AC77=3,AC77=6)),B77=Procedura!$B$28),"RUP E COLLABORAZIONE INCOMPATIBILI",IF(AND(AG77&gt;0,AG77&lt;&gt;AF77),"PESI MANUALI SOLO SU ALCUNE RIGHE",IF(AND(J77&gt;0,NOT(AND(Procedura!$B$10="Lavori",OR(AC77=5,AC77=6)))),"RITARDO PROGETTAZIONE NON PERTINENTE",IF(AND(M77&gt;0,M77&lt;5%),"CARENZE INFERIORI AL 5%",IF(AND(OR(J77&gt;0,K77&gt;0,L77&gt;0,M77&gt;0,I77="Si"),N77=""),"MOTIVARE ESCLUSIONE O RIDUZIONE",IF(AND(G77&gt;0,H77="Da verificare"),"ATTESTAZIONE DA ACQUISIRE",IF(AND(G77&gt;0,H77="Si",N77=""),"INDICARE ATTI ATTIVITA","COERENTE"))))))))))))))</f>
        <v/>
      </c>
      <c r="AA77" s="2" t="str">
        <f t="shared" si="39"/>
        <v/>
      </c>
      <c r="AB77" s="2" t="str">
        <f>IF(A77="","",INDEX(Voci!$C$6:$C$24,MATCH(A77,Voci!$A$6:$A$24,0)))</f>
        <v/>
      </c>
      <c r="AC77" s="2">
        <f>IF(A77="",0,INDEX(Voci!$B$6:$B$24,MATCH(A77,Voci!$A$6:$A$24,0)))</f>
        <v>0</v>
      </c>
      <c r="AD77" s="2">
        <f t="shared" si="40"/>
        <v>0</v>
      </c>
      <c r="AE77" s="2">
        <f t="shared" si="41"/>
        <v>0</v>
      </c>
      <c r="AF77" s="2">
        <f t="shared" si="42"/>
        <v>0</v>
      </c>
      <c r="AG77" s="2">
        <f t="shared" si="43"/>
        <v>0</v>
      </c>
      <c r="AH77">
        <f t="shared" si="44"/>
        <v>0</v>
      </c>
    </row>
    <row r="78" spans="1:34" ht="24" customHeight="1">
      <c r="A78" s="5"/>
      <c r="B78" s="5"/>
      <c r="C78" s="5"/>
      <c r="D78" s="8"/>
      <c r="E78" s="10">
        <f>IF(OR(A78="",B78=""),0,IF(ISNUMBER(D78),D78,IF(OR(AND(Procedura!$B$10="Lavori",AC78=10),AND(Procedura!$B$10&lt;&gt;"Lavori",AC78=2)),IF(Procedura!$B$29="Si",IF(C78="RUP",IF(Procedura!$B$10="Lavori",20%,IF(Voci!$M$7&gt;0,(Voci!$J$7*(1-Procedura!$B$39)+(Voci!$J$7*Procedura!$B$39-Voci!$L$7)*20%)/Voci!$M$7,0)),IF(C78="Responsabile fase",IF(Procedura!$B$10="Lavori",80%,IF(Voci!$M$7&gt;0,(Voci!$J$7*Procedura!$B$39-Voci!$L$7)*80%/Voci!$M$7,0)),0)),IF(C78="RUP",1,0)),IF(IF(Procedura!$B$10="Lavori",OR(AC78=3,AC78=13),AC78=5),IF(C78="RUP",1,0),IF(IF(Procedura!$B$10="Lavori",OR(AC78=4,AC78=11,AC78=14),OR(AC78=3,AC78=6)),IF(AND(AD78&gt;0,AE78&gt;0),IF(OR(C78="Supporto",C78="Responsabile fase"),60%/AD78,IF(C78="Altro",40%/AE78,0)),IF(AF78&gt;0,1/AF78,0)),IF(AF78&gt;0,1/AF78,0))))))</f>
        <v>0</v>
      </c>
      <c r="F78" s="11">
        <f>IF(A78="",0,INDEX(Voci!$M$6:$M$24,MATCH(A78,Voci!$A$6:$A$24,0))*E78)</f>
        <v>0</v>
      </c>
      <c r="G78" s="11">
        <f>IF(A78="",0,INDEX(Voci!$O$6:$O$24,MATCH(A78,Voci!$A$6:$A$24,0))*E78)</f>
        <v>0</v>
      </c>
      <c r="H78" s="5" t="s">
        <v>60</v>
      </c>
      <c r="I78" s="5" t="s">
        <v>67</v>
      </c>
      <c r="J78" s="8">
        <v>0</v>
      </c>
      <c r="K78" s="8">
        <v>0</v>
      </c>
      <c r="L78" s="8">
        <v>0</v>
      </c>
      <c r="M78" s="8">
        <v>0</v>
      </c>
      <c r="N78" s="5"/>
      <c r="O78" s="10">
        <f t="shared" si="30"/>
        <v>0</v>
      </c>
      <c r="P78" s="10">
        <f t="shared" si="31"/>
        <v>0</v>
      </c>
      <c r="Q78" s="10">
        <f t="shared" si="32"/>
        <v>0</v>
      </c>
      <c r="R78" s="10">
        <f t="shared" si="33"/>
        <v>0</v>
      </c>
      <c r="S78" s="11">
        <f t="shared" si="34"/>
        <v>0</v>
      </c>
      <c r="T78" s="11">
        <f t="shared" si="35"/>
        <v>0</v>
      </c>
      <c r="U78" s="11">
        <f t="shared" si="36"/>
        <v>0</v>
      </c>
      <c r="V78" s="10">
        <f>IF(B78="",0,INDEX(Personale!$F$6:$F$25,MATCH(B78,Personale!$A$6:$A$25,0)))</f>
        <v>0</v>
      </c>
      <c r="W78" s="11">
        <f t="shared" si="37"/>
        <v>0</v>
      </c>
      <c r="X78" s="11">
        <f t="shared" si="38"/>
        <v>0</v>
      </c>
      <c r="Y78" s="11">
        <f>IF(B78="",0,W78*INDEX(Personale!$G$6:$G$25,MATCH(B78,Personale!$A$6:$A$25,0)))</f>
        <v>0</v>
      </c>
      <c r="Z78" s="2" t="str">
        <f>IF(AND(A78&lt;&gt;"",Procedura!$B$10&lt;&gt;"Lavori",AC78=7,B78=Procedura!$B$28),"DEC DEVE ESSERE DIVERSO DAL RUP",IF(AND(ISNUMBER(D78),OR(OR(AND(Procedura!$B$10="Lavori",AC78=10),AND(Procedura!$B$10&lt;&gt;"Lavori",AC78=2)),IF(Procedura!$B$10="Lavori",OR(AC78=3,AC78=13),AC78=5)),ABS(E78-IF(IF(Procedura!$B$10="Lavori",OR(AC78=3,AC78=13),AC78=5),1,IF(Procedura!$B$29="No",1,IF(C78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FISSO",IF(AND(A78="",B78=""),"",IF(OR(A78="",B78="",C78=""),"COMPLETARE VOCE PERSONA RUOLO",IF(COUNTIFS($AA$6:$AA$105,AA78)&gt;1,"PERSONA RIPETUTA NELLA VOCE",IF(INDEX(Voci!$F$6:$F$24,MATCH(A78,Voci!$A$6:$A$24,0))&lt;&gt;"Interna","VOCE NON INTERNA",IF(OR(AND(C78="RUP",B78&lt;&gt;Procedura!$B$28),AND(C78="Responsabile fase",OR(Procedura!$B$29&lt;&gt;"Si",B78&lt;&gt;Procedura!$B$30)),AND(OR(OR(AND(Procedura!$B$10="Lavori",AC78=10),AND(Procedura!$B$10&lt;&gt;"Lavori",AC78=2)),IF(Procedura!$B$10="Lavori",OR(AC78=3,AC78=13),AC78=5)),NOT(OR(C78="RUP",AND(OR(AND(Procedura!$B$10="Lavori",AC78=10),AND(Procedura!$B$10&lt;&gt;"Lavori",AC78=2)),C78="Responsabile fase",Procedura!$B$29="Si")))),AND(IF(Procedura!$B$10="Lavori",OR(AC78=4,AC78=11,AC78=14),OR(AC78=3,AC78=6)),NOT(OR(C78="Supporto",C78="Altro",C78="Responsabile fase")))),"RUOLO NON COERENTE",IF(AND(IF(Procedura!$B$10="Lavori",OR(AC78=4,AC78=11,AC78=14),OR(AC78=3,AC78=6)),B78=Procedura!$B$28),"RUP E COLLABORAZIONE INCOMPATIBILI",IF(AND(AG78&gt;0,AG78&lt;&gt;AF78),"PESI MANUALI SOLO SU ALCUNE RIGHE",IF(AND(J78&gt;0,NOT(AND(Procedura!$B$10="Lavori",OR(AC78=5,AC78=6)))),"RITARDO PROGETTAZIONE NON PERTINENTE",IF(AND(M78&gt;0,M78&lt;5%),"CARENZE INFERIORI AL 5%",IF(AND(OR(J78&gt;0,K78&gt;0,L78&gt;0,M78&gt;0,I78="Si"),N78=""),"MOTIVARE ESCLUSIONE O RIDUZIONE",IF(AND(G78&gt;0,H78="Da verificare"),"ATTESTAZIONE DA ACQUISIRE",IF(AND(G78&gt;0,H78="Si",N78=""),"INDICARE ATTI ATTIVITA","COERENTE"))))))))))))))</f>
        <v/>
      </c>
      <c r="AA78" s="2" t="str">
        <f t="shared" si="39"/>
        <v/>
      </c>
      <c r="AB78" s="2" t="str">
        <f>IF(A78="","",INDEX(Voci!$C$6:$C$24,MATCH(A78,Voci!$A$6:$A$24,0)))</f>
        <v/>
      </c>
      <c r="AC78" s="2">
        <f>IF(A78="",0,INDEX(Voci!$B$6:$B$24,MATCH(A78,Voci!$A$6:$A$24,0)))</f>
        <v>0</v>
      </c>
      <c r="AD78" s="2">
        <f t="shared" si="40"/>
        <v>0</v>
      </c>
      <c r="AE78" s="2">
        <f t="shared" si="41"/>
        <v>0</v>
      </c>
      <c r="AF78" s="2">
        <f t="shared" si="42"/>
        <v>0</v>
      </c>
      <c r="AG78" s="2">
        <f t="shared" si="43"/>
        <v>0</v>
      </c>
      <c r="AH78">
        <f t="shared" si="44"/>
        <v>0</v>
      </c>
    </row>
    <row r="79" spans="1:34" ht="24" customHeight="1">
      <c r="A79" s="5"/>
      <c r="B79" s="5"/>
      <c r="C79" s="5"/>
      <c r="D79" s="8"/>
      <c r="E79" s="10">
        <f>IF(OR(A79="",B79=""),0,IF(ISNUMBER(D79),D79,IF(OR(AND(Procedura!$B$10="Lavori",AC79=10),AND(Procedura!$B$10&lt;&gt;"Lavori",AC79=2)),IF(Procedura!$B$29="Si",IF(C79="RUP",IF(Procedura!$B$10="Lavori",20%,IF(Voci!$M$7&gt;0,(Voci!$J$7*(1-Procedura!$B$39)+(Voci!$J$7*Procedura!$B$39-Voci!$L$7)*20%)/Voci!$M$7,0)),IF(C79="Responsabile fase",IF(Procedura!$B$10="Lavori",80%,IF(Voci!$M$7&gt;0,(Voci!$J$7*Procedura!$B$39-Voci!$L$7)*80%/Voci!$M$7,0)),0)),IF(C79="RUP",1,0)),IF(IF(Procedura!$B$10="Lavori",OR(AC79=3,AC79=13),AC79=5),IF(C79="RUP",1,0),IF(IF(Procedura!$B$10="Lavori",OR(AC79=4,AC79=11,AC79=14),OR(AC79=3,AC79=6)),IF(AND(AD79&gt;0,AE79&gt;0),IF(OR(C79="Supporto",C79="Responsabile fase"),60%/AD79,IF(C79="Altro",40%/AE79,0)),IF(AF79&gt;0,1/AF79,0)),IF(AF79&gt;0,1/AF79,0))))))</f>
        <v>0</v>
      </c>
      <c r="F79" s="11">
        <f>IF(A79="",0,INDEX(Voci!$M$6:$M$24,MATCH(A79,Voci!$A$6:$A$24,0))*E79)</f>
        <v>0</v>
      </c>
      <c r="G79" s="11">
        <f>IF(A79="",0,INDEX(Voci!$O$6:$O$24,MATCH(A79,Voci!$A$6:$A$24,0))*E79)</f>
        <v>0</v>
      </c>
      <c r="H79" s="5" t="s">
        <v>60</v>
      </c>
      <c r="I79" s="5" t="s">
        <v>67</v>
      </c>
      <c r="J79" s="8">
        <v>0</v>
      </c>
      <c r="K79" s="8">
        <v>0</v>
      </c>
      <c r="L79" s="8">
        <v>0</v>
      </c>
      <c r="M79" s="8">
        <v>0</v>
      </c>
      <c r="N79" s="5"/>
      <c r="O79" s="10">
        <f t="shared" si="30"/>
        <v>0</v>
      </c>
      <c r="P79" s="10">
        <f t="shared" si="31"/>
        <v>0</v>
      </c>
      <c r="Q79" s="10">
        <f t="shared" si="32"/>
        <v>0</v>
      </c>
      <c r="R79" s="10">
        <f t="shared" si="33"/>
        <v>0</v>
      </c>
      <c r="S79" s="11">
        <f t="shared" si="34"/>
        <v>0</v>
      </c>
      <c r="T79" s="11">
        <f t="shared" si="35"/>
        <v>0</v>
      </c>
      <c r="U79" s="11">
        <f t="shared" si="36"/>
        <v>0</v>
      </c>
      <c r="V79" s="10">
        <f>IF(B79="",0,INDEX(Personale!$F$6:$F$25,MATCH(B79,Personale!$A$6:$A$25,0)))</f>
        <v>0</v>
      </c>
      <c r="W79" s="11">
        <f t="shared" si="37"/>
        <v>0</v>
      </c>
      <c r="X79" s="11">
        <f t="shared" si="38"/>
        <v>0</v>
      </c>
      <c r="Y79" s="11">
        <f>IF(B79="",0,W79*INDEX(Personale!$G$6:$G$25,MATCH(B79,Personale!$A$6:$A$25,0)))</f>
        <v>0</v>
      </c>
      <c r="Z79" s="2" t="str">
        <f>IF(AND(A79&lt;&gt;"",Procedura!$B$10&lt;&gt;"Lavori",AC79=7,B79=Procedura!$B$28),"DEC DEVE ESSERE DIVERSO DAL RUP",IF(AND(ISNUMBER(D79),OR(OR(AND(Procedura!$B$10="Lavori",AC79=10),AND(Procedura!$B$10&lt;&gt;"Lavori",AC79=2)),IF(Procedura!$B$10="Lavori",OR(AC79=3,AC79=13),AC79=5)),ABS(E79-IF(IF(Procedura!$B$10="Lavori",OR(AC79=3,AC79=13),AC79=5),1,IF(Procedura!$B$29="No",1,IF(C79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FISSO",IF(AND(A79="",B79=""),"",IF(OR(A79="",B79="",C79=""),"COMPLETARE VOCE PERSONA RUOLO",IF(COUNTIFS($AA$6:$AA$105,AA79)&gt;1,"PERSONA RIPETUTA NELLA VOCE",IF(INDEX(Voci!$F$6:$F$24,MATCH(A79,Voci!$A$6:$A$24,0))&lt;&gt;"Interna","VOCE NON INTERNA",IF(OR(AND(C79="RUP",B79&lt;&gt;Procedura!$B$28),AND(C79="Responsabile fase",OR(Procedura!$B$29&lt;&gt;"Si",B79&lt;&gt;Procedura!$B$30)),AND(OR(OR(AND(Procedura!$B$10="Lavori",AC79=10),AND(Procedura!$B$10&lt;&gt;"Lavori",AC79=2)),IF(Procedura!$B$10="Lavori",OR(AC79=3,AC79=13),AC79=5)),NOT(OR(C79="RUP",AND(OR(AND(Procedura!$B$10="Lavori",AC79=10),AND(Procedura!$B$10&lt;&gt;"Lavori",AC79=2)),C79="Responsabile fase",Procedura!$B$29="Si")))),AND(IF(Procedura!$B$10="Lavori",OR(AC79=4,AC79=11,AC79=14),OR(AC79=3,AC79=6)),NOT(OR(C79="Supporto",C79="Altro",C79="Responsabile fase")))),"RUOLO NON COERENTE",IF(AND(IF(Procedura!$B$10="Lavori",OR(AC79=4,AC79=11,AC79=14),OR(AC79=3,AC79=6)),B79=Procedura!$B$28),"RUP E COLLABORAZIONE INCOMPATIBILI",IF(AND(AG79&gt;0,AG79&lt;&gt;AF79),"PESI MANUALI SOLO SU ALCUNE RIGHE",IF(AND(J79&gt;0,NOT(AND(Procedura!$B$10="Lavori",OR(AC79=5,AC79=6)))),"RITARDO PROGETTAZIONE NON PERTINENTE",IF(AND(M79&gt;0,M79&lt;5%),"CARENZE INFERIORI AL 5%",IF(AND(OR(J79&gt;0,K79&gt;0,L79&gt;0,M79&gt;0,I79="Si"),N79=""),"MOTIVARE ESCLUSIONE O RIDUZIONE",IF(AND(G79&gt;0,H79="Da verificare"),"ATTESTAZIONE DA ACQUISIRE",IF(AND(G79&gt;0,H79="Si",N79=""),"INDICARE ATTI ATTIVITA","COERENTE"))))))))))))))</f>
        <v/>
      </c>
      <c r="AA79" s="2" t="str">
        <f t="shared" si="39"/>
        <v/>
      </c>
      <c r="AB79" s="2" t="str">
        <f>IF(A79="","",INDEX(Voci!$C$6:$C$24,MATCH(A79,Voci!$A$6:$A$24,0)))</f>
        <v/>
      </c>
      <c r="AC79" s="2">
        <f>IF(A79="",0,INDEX(Voci!$B$6:$B$24,MATCH(A79,Voci!$A$6:$A$24,0)))</f>
        <v>0</v>
      </c>
      <c r="AD79" s="2">
        <f t="shared" si="40"/>
        <v>0</v>
      </c>
      <c r="AE79" s="2">
        <f t="shared" si="41"/>
        <v>0</v>
      </c>
      <c r="AF79" s="2">
        <f t="shared" si="42"/>
        <v>0</v>
      </c>
      <c r="AG79" s="2">
        <f t="shared" si="43"/>
        <v>0</v>
      </c>
      <c r="AH79">
        <f t="shared" si="44"/>
        <v>0</v>
      </c>
    </row>
    <row r="80" spans="1:34" ht="24" customHeight="1">
      <c r="A80" s="5"/>
      <c r="B80" s="5"/>
      <c r="C80" s="5"/>
      <c r="D80" s="8"/>
      <c r="E80" s="10">
        <f>IF(OR(A80="",B80=""),0,IF(ISNUMBER(D80),D80,IF(OR(AND(Procedura!$B$10="Lavori",AC80=10),AND(Procedura!$B$10&lt;&gt;"Lavori",AC80=2)),IF(Procedura!$B$29="Si",IF(C80="RUP",IF(Procedura!$B$10="Lavori",20%,IF(Voci!$M$7&gt;0,(Voci!$J$7*(1-Procedura!$B$39)+(Voci!$J$7*Procedura!$B$39-Voci!$L$7)*20%)/Voci!$M$7,0)),IF(C80="Responsabile fase",IF(Procedura!$B$10="Lavori",80%,IF(Voci!$M$7&gt;0,(Voci!$J$7*Procedura!$B$39-Voci!$L$7)*80%/Voci!$M$7,0)),0)),IF(C80="RUP",1,0)),IF(IF(Procedura!$B$10="Lavori",OR(AC80=3,AC80=13),AC80=5),IF(C80="RUP",1,0),IF(IF(Procedura!$B$10="Lavori",OR(AC80=4,AC80=11,AC80=14),OR(AC80=3,AC80=6)),IF(AND(AD80&gt;0,AE80&gt;0),IF(OR(C80="Supporto",C80="Responsabile fase"),60%/AD80,IF(C80="Altro",40%/AE80,0)),IF(AF80&gt;0,1/AF80,0)),IF(AF80&gt;0,1/AF80,0))))))</f>
        <v>0</v>
      </c>
      <c r="F80" s="11">
        <f>IF(A80="",0,INDEX(Voci!$M$6:$M$24,MATCH(A80,Voci!$A$6:$A$24,0))*E80)</f>
        <v>0</v>
      </c>
      <c r="G80" s="11">
        <f>IF(A80="",0,INDEX(Voci!$O$6:$O$24,MATCH(A80,Voci!$A$6:$A$24,0))*E80)</f>
        <v>0</v>
      </c>
      <c r="H80" s="5" t="s">
        <v>60</v>
      </c>
      <c r="I80" s="5" t="s">
        <v>67</v>
      </c>
      <c r="J80" s="8">
        <v>0</v>
      </c>
      <c r="K80" s="8">
        <v>0</v>
      </c>
      <c r="L80" s="8">
        <v>0</v>
      </c>
      <c r="M80" s="8">
        <v>0</v>
      </c>
      <c r="N80" s="5"/>
      <c r="O80" s="10">
        <f t="shared" si="30"/>
        <v>0</v>
      </c>
      <c r="P80" s="10">
        <f t="shared" si="31"/>
        <v>0</v>
      </c>
      <c r="Q80" s="10">
        <f t="shared" si="32"/>
        <v>0</v>
      </c>
      <c r="R80" s="10">
        <f t="shared" si="33"/>
        <v>0</v>
      </c>
      <c r="S80" s="11">
        <f t="shared" si="34"/>
        <v>0</v>
      </c>
      <c r="T80" s="11">
        <f t="shared" si="35"/>
        <v>0</v>
      </c>
      <c r="U80" s="11">
        <f t="shared" si="36"/>
        <v>0</v>
      </c>
      <c r="V80" s="10">
        <f>IF(B80="",0,INDEX(Personale!$F$6:$F$25,MATCH(B80,Personale!$A$6:$A$25,0)))</f>
        <v>0</v>
      </c>
      <c r="W80" s="11">
        <f t="shared" si="37"/>
        <v>0</v>
      </c>
      <c r="X80" s="11">
        <f t="shared" si="38"/>
        <v>0</v>
      </c>
      <c r="Y80" s="11">
        <f>IF(B80="",0,W80*INDEX(Personale!$G$6:$G$25,MATCH(B80,Personale!$A$6:$A$25,0)))</f>
        <v>0</v>
      </c>
      <c r="Z80" s="2" t="str">
        <f>IF(AND(A80&lt;&gt;"",Procedura!$B$10&lt;&gt;"Lavori",AC80=7,B80=Procedura!$B$28),"DEC DEVE ESSERE DIVERSO DAL RUP",IF(AND(ISNUMBER(D80),OR(OR(AND(Procedura!$B$10="Lavori",AC80=10),AND(Procedura!$B$10&lt;&gt;"Lavori",AC80=2)),IF(Procedura!$B$10="Lavori",OR(AC80=3,AC80=13),AC80=5)),ABS(E80-IF(IF(Procedura!$B$10="Lavori",OR(AC80=3,AC80=13),AC80=5),1,IF(Procedura!$B$29="No",1,IF(C80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FISSO",IF(AND(A80="",B80=""),"",IF(OR(A80="",B80="",C80=""),"COMPLETARE VOCE PERSONA RUOLO",IF(COUNTIFS($AA$6:$AA$105,AA80)&gt;1,"PERSONA RIPETUTA NELLA VOCE",IF(INDEX(Voci!$F$6:$F$24,MATCH(A80,Voci!$A$6:$A$24,0))&lt;&gt;"Interna","VOCE NON INTERNA",IF(OR(AND(C80="RUP",B80&lt;&gt;Procedura!$B$28),AND(C80="Responsabile fase",OR(Procedura!$B$29&lt;&gt;"Si",B80&lt;&gt;Procedura!$B$30)),AND(OR(OR(AND(Procedura!$B$10="Lavori",AC80=10),AND(Procedura!$B$10&lt;&gt;"Lavori",AC80=2)),IF(Procedura!$B$10="Lavori",OR(AC80=3,AC80=13),AC80=5)),NOT(OR(C80="RUP",AND(OR(AND(Procedura!$B$10="Lavori",AC80=10),AND(Procedura!$B$10&lt;&gt;"Lavori",AC80=2)),C80="Responsabile fase",Procedura!$B$29="Si")))),AND(IF(Procedura!$B$10="Lavori",OR(AC80=4,AC80=11,AC80=14),OR(AC80=3,AC80=6)),NOT(OR(C80="Supporto",C80="Altro",C80="Responsabile fase")))),"RUOLO NON COERENTE",IF(AND(IF(Procedura!$B$10="Lavori",OR(AC80=4,AC80=11,AC80=14),OR(AC80=3,AC80=6)),B80=Procedura!$B$28),"RUP E COLLABORAZIONE INCOMPATIBILI",IF(AND(AG80&gt;0,AG80&lt;&gt;AF80),"PESI MANUALI SOLO SU ALCUNE RIGHE",IF(AND(J80&gt;0,NOT(AND(Procedura!$B$10="Lavori",OR(AC80=5,AC80=6)))),"RITARDO PROGETTAZIONE NON PERTINENTE",IF(AND(M80&gt;0,M80&lt;5%),"CARENZE INFERIORI AL 5%",IF(AND(OR(J80&gt;0,K80&gt;0,L80&gt;0,M80&gt;0,I80="Si"),N80=""),"MOTIVARE ESCLUSIONE O RIDUZIONE",IF(AND(G80&gt;0,H80="Da verificare"),"ATTESTAZIONE DA ACQUISIRE",IF(AND(G80&gt;0,H80="Si",N80=""),"INDICARE ATTI ATTIVITA","COERENTE"))))))))))))))</f>
        <v/>
      </c>
      <c r="AA80" s="2" t="str">
        <f t="shared" si="39"/>
        <v/>
      </c>
      <c r="AB80" s="2" t="str">
        <f>IF(A80="","",INDEX(Voci!$C$6:$C$24,MATCH(A80,Voci!$A$6:$A$24,0)))</f>
        <v/>
      </c>
      <c r="AC80" s="2">
        <f>IF(A80="",0,INDEX(Voci!$B$6:$B$24,MATCH(A80,Voci!$A$6:$A$24,0)))</f>
        <v>0</v>
      </c>
      <c r="AD80" s="2">
        <f t="shared" si="40"/>
        <v>0</v>
      </c>
      <c r="AE80" s="2">
        <f t="shared" si="41"/>
        <v>0</v>
      </c>
      <c r="AF80" s="2">
        <f t="shared" si="42"/>
        <v>0</v>
      </c>
      <c r="AG80" s="2">
        <f t="shared" si="43"/>
        <v>0</v>
      </c>
      <c r="AH80">
        <f t="shared" si="44"/>
        <v>0</v>
      </c>
    </row>
    <row r="81" spans="1:34" ht="24" customHeight="1">
      <c r="A81" s="5"/>
      <c r="B81" s="5"/>
      <c r="C81" s="5"/>
      <c r="D81" s="8"/>
      <c r="E81" s="10">
        <f>IF(OR(A81="",B81=""),0,IF(ISNUMBER(D81),D81,IF(OR(AND(Procedura!$B$10="Lavori",AC81=10),AND(Procedura!$B$10&lt;&gt;"Lavori",AC81=2)),IF(Procedura!$B$29="Si",IF(C81="RUP",IF(Procedura!$B$10="Lavori",20%,IF(Voci!$M$7&gt;0,(Voci!$J$7*(1-Procedura!$B$39)+(Voci!$J$7*Procedura!$B$39-Voci!$L$7)*20%)/Voci!$M$7,0)),IF(C81="Responsabile fase",IF(Procedura!$B$10="Lavori",80%,IF(Voci!$M$7&gt;0,(Voci!$J$7*Procedura!$B$39-Voci!$L$7)*80%/Voci!$M$7,0)),0)),IF(C81="RUP",1,0)),IF(IF(Procedura!$B$10="Lavori",OR(AC81=3,AC81=13),AC81=5),IF(C81="RUP",1,0),IF(IF(Procedura!$B$10="Lavori",OR(AC81=4,AC81=11,AC81=14),OR(AC81=3,AC81=6)),IF(AND(AD81&gt;0,AE81&gt;0),IF(OR(C81="Supporto",C81="Responsabile fase"),60%/AD81,IF(C81="Altro",40%/AE81,0)),IF(AF81&gt;0,1/AF81,0)),IF(AF81&gt;0,1/AF81,0))))))</f>
        <v>0</v>
      </c>
      <c r="F81" s="11">
        <f>IF(A81="",0,INDEX(Voci!$M$6:$M$24,MATCH(A81,Voci!$A$6:$A$24,0))*E81)</f>
        <v>0</v>
      </c>
      <c r="G81" s="11">
        <f>IF(A81="",0,INDEX(Voci!$O$6:$O$24,MATCH(A81,Voci!$A$6:$A$24,0))*E81)</f>
        <v>0</v>
      </c>
      <c r="H81" s="5" t="s">
        <v>60</v>
      </c>
      <c r="I81" s="5" t="s">
        <v>67</v>
      </c>
      <c r="J81" s="8">
        <v>0</v>
      </c>
      <c r="K81" s="8">
        <v>0</v>
      </c>
      <c r="L81" s="8">
        <v>0</v>
      </c>
      <c r="M81" s="8">
        <v>0</v>
      </c>
      <c r="N81" s="5"/>
      <c r="O81" s="10">
        <f t="shared" si="30"/>
        <v>0</v>
      </c>
      <c r="P81" s="10">
        <f t="shared" si="31"/>
        <v>0</v>
      </c>
      <c r="Q81" s="10">
        <f t="shared" si="32"/>
        <v>0</v>
      </c>
      <c r="R81" s="10">
        <f t="shared" si="33"/>
        <v>0</v>
      </c>
      <c r="S81" s="11">
        <f t="shared" si="34"/>
        <v>0</v>
      </c>
      <c r="T81" s="11">
        <f t="shared" si="35"/>
        <v>0</v>
      </c>
      <c r="U81" s="11">
        <f t="shared" si="36"/>
        <v>0</v>
      </c>
      <c r="V81" s="10">
        <f>IF(B81="",0,INDEX(Personale!$F$6:$F$25,MATCH(B81,Personale!$A$6:$A$25,0)))</f>
        <v>0</v>
      </c>
      <c r="W81" s="11">
        <f t="shared" si="37"/>
        <v>0</v>
      </c>
      <c r="X81" s="11">
        <f t="shared" si="38"/>
        <v>0</v>
      </c>
      <c r="Y81" s="11">
        <f>IF(B81="",0,W81*INDEX(Personale!$G$6:$G$25,MATCH(B81,Personale!$A$6:$A$25,0)))</f>
        <v>0</v>
      </c>
      <c r="Z81" s="2" t="str">
        <f>IF(AND(A81&lt;&gt;"",Procedura!$B$10&lt;&gt;"Lavori",AC81=7,B81=Procedura!$B$28),"DEC DEVE ESSERE DIVERSO DAL RUP",IF(AND(ISNUMBER(D81),OR(OR(AND(Procedura!$B$10="Lavori",AC81=10),AND(Procedura!$B$10&lt;&gt;"Lavori",AC81=2)),IF(Procedura!$B$10="Lavori",OR(AC81=3,AC81=13),AC81=5)),ABS(E81-IF(IF(Procedura!$B$10="Lavori",OR(AC81=3,AC81=13),AC81=5),1,IF(Procedura!$B$29="No",1,IF(C81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FISSO",IF(AND(A81="",B81=""),"",IF(OR(A81="",B81="",C81=""),"COMPLETARE VOCE PERSONA RUOLO",IF(COUNTIFS($AA$6:$AA$105,AA81)&gt;1,"PERSONA RIPETUTA NELLA VOCE",IF(INDEX(Voci!$F$6:$F$24,MATCH(A81,Voci!$A$6:$A$24,0))&lt;&gt;"Interna","VOCE NON INTERNA",IF(OR(AND(C81="RUP",B81&lt;&gt;Procedura!$B$28),AND(C81="Responsabile fase",OR(Procedura!$B$29&lt;&gt;"Si",B81&lt;&gt;Procedura!$B$30)),AND(OR(OR(AND(Procedura!$B$10="Lavori",AC81=10),AND(Procedura!$B$10&lt;&gt;"Lavori",AC81=2)),IF(Procedura!$B$10="Lavori",OR(AC81=3,AC81=13),AC81=5)),NOT(OR(C81="RUP",AND(OR(AND(Procedura!$B$10="Lavori",AC81=10),AND(Procedura!$B$10&lt;&gt;"Lavori",AC81=2)),C81="Responsabile fase",Procedura!$B$29="Si")))),AND(IF(Procedura!$B$10="Lavori",OR(AC81=4,AC81=11,AC81=14),OR(AC81=3,AC81=6)),NOT(OR(C81="Supporto",C81="Altro",C81="Responsabile fase")))),"RUOLO NON COERENTE",IF(AND(IF(Procedura!$B$10="Lavori",OR(AC81=4,AC81=11,AC81=14),OR(AC81=3,AC81=6)),B81=Procedura!$B$28),"RUP E COLLABORAZIONE INCOMPATIBILI",IF(AND(AG81&gt;0,AG81&lt;&gt;AF81),"PESI MANUALI SOLO SU ALCUNE RIGHE",IF(AND(J81&gt;0,NOT(AND(Procedura!$B$10="Lavori",OR(AC81=5,AC81=6)))),"RITARDO PROGETTAZIONE NON PERTINENTE",IF(AND(M81&gt;0,M81&lt;5%),"CARENZE INFERIORI AL 5%",IF(AND(OR(J81&gt;0,K81&gt;0,L81&gt;0,M81&gt;0,I81="Si"),N81=""),"MOTIVARE ESCLUSIONE O RIDUZIONE",IF(AND(G81&gt;0,H81="Da verificare"),"ATTESTAZIONE DA ACQUISIRE",IF(AND(G81&gt;0,H81="Si",N81=""),"INDICARE ATTI ATTIVITA","COERENTE"))))))))))))))</f>
        <v/>
      </c>
      <c r="AA81" s="2" t="str">
        <f t="shared" si="39"/>
        <v/>
      </c>
      <c r="AB81" s="2" t="str">
        <f>IF(A81="","",INDEX(Voci!$C$6:$C$24,MATCH(A81,Voci!$A$6:$A$24,0)))</f>
        <v/>
      </c>
      <c r="AC81" s="2">
        <f>IF(A81="",0,INDEX(Voci!$B$6:$B$24,MATCH(A81,Voci!$A$6:$A$24,0)))</f>
        <v>0</v>
      </c>
      <c r="AD81" s="2">
        <f t="shared" si="40"/>
        <v>0</v>
      </c>
      <c r="AE81" s="2">
        <f t="shared" si="41"/>
        <v>0</v>
      </c>
      <c r="AF81" s="2">
        <f t="shared" si="42"/>
        <v>0</v>
      </c>
      <c r="AG81" s="2">
        <f t="shared" si="43"/>
        <v>0</v>
      </c>
      <c r="AH81">
        <f t="shared" si="44"/>
        <v>0</v>
      </c>
    </row>
    <row r="82" spans="1:34" ht="24" customHeight="1">
      <c r="A82" s="5"/>
      <c r="B82" s="5"/>
      <c r="C82" s="5"/>
      <c r="D82" s="8"/>
      <c r="E82" s="10">
        <f>IF(OR(A82="",B82=""),0,IF(ISNUMBER(D82),D82,IF(OR(AND(Procedura!$B$10="Lavori",AC82=10),AND(Procedura!$B$10&lt;&gt;"Lavori",AC82=2)),IF(Procedura!$B$29="Si",IF(C82="RUP",IF(Procedura!$B$10="Lavori",20%,IF(Voci!$M$7&gt;0,(Voci!$J$7*(1-Procedura!$B$39)+(Voci!$J$7*Procedura!$B$39-Voci!$L$7)*20%)/Voci!$M$7,0)),IF(C82="Responsabile fase",IF(Procedura!$B$10="Lavori",80%,IF(Voci!$M$7&gt;0,(Voci!$J$7*Procedura!$B$39-Voci!$L$7)*80%/Voci!$M$7,0)),0)),IF(C82="RUP",1,0)),IF(IF(Procedura!$B$10="Lavori",OR(AC82=3,AC82=13),AC82=5),IF(C82="RUP",1,0),IF(IF(Procedura!$B$10="Lavori",OR(AC82=4,AC82=11,AC82=14),OR(AC82=3,AC82=6)),IF(AND(AD82&gt;0,AE82&gt;0),IF(OR(C82="Supporto",C82="Responsabile fase"),60%/AD82,IF(C82="Altro",40%/AE82,0)),IF(AF82&gt;0,1/AF82,0)),IF(AF82&gt;0,1/AF82,0))))))</f>
        <v>0</v>
      </c>
      <c r="F82" s="11">
        <f>IF(A82="",0,INDEX(Voci!$M$6:$M$24,MATCH(A82,Voci!$A$6:$A$24,0))*E82)</f>
        <v>0</v>
      </c>
      <c r="G82" s="11">
        <f>IF(A82="",0,INDEX(Voci!$O$6:$O$24,MATCH(A82,Voci!$A$6:$A$24,0))*E82)</f>
        <v>0</v>
      </c>
      <c r="H82" s="5" t="s">
        <v>60</v>
      </c>
      <c r="I82" s="5" t="s">
        <v>67</v>
      </c>
      <c r="J82" s="8">
        <v>0</v>
      </c>
      <c r="K82" s="8">
        <v>0</v>
      </c>
      <c r="L82" s="8">
        <v>0</v>
      </c>
      <c r="M82" s="8">
        <v>0</v>
      </c>
      <c r="N82" s="5"/>
      <c r="O82" s="10">
        <f t="shared" si="30"/>
        <v>0</v>
      </c>
      <c r="P82" s="10">
        <f t="shared" si="31"/>
        <v>0</v>
      </c>
      <c r="Q82" s="10">
        <f t="shared" si="32"/>
        <v>0</v>
      </c>
      <c r="R82" s="10">
        <f t="shared" si="33"/>
        <v>0</v>
      </c>
      <c r="S82" s="11">
        <f t="shared" si="34"/>
        <v>0</v>
      </c>
      <c r="T82" s="11">
        <f t="shared" si="35"/>
        <v>0</v>
      </c>
      <c r="U82" s="11">
        <f t="shared" si="36"/>
        <v>0</v>
      </c>
      <c r="V82" s="10">
        <f>IF(B82="",0,INDEX(Personale!$F$6:$F$25,MATCH(B82,Personale!$A$6:$A$25,0)))</f>
        <v>0</v>
      </c>
      <c r="W82" s="11">
        <f t="shared" si="37"/>
        <v>0</v>
      </c>
      <c r="X82" s="11">
        <f t="shared" si="38"/>
        <v>0</v>
      </c>
      <c r="Y82" s="11">
        <f>IF(B82="",0,W82*INDEX(Personale!$G$6:$G$25,MATCH(B82,Personale!$A$6:$A$25,0)))</f>
        <v>0</v>
      </c>
      <c r="Z82" s="2" t="str">
        <f>IF(AND(A82&lt;&gt;"",Procedura!$B$10&lt;&gt;"Lavori",AC82=7,B82=Procedura!$B$28),"DEC DEVE ESSERE DIVERSO DAL RUP",IF(AND(ISNUMBER(D82),OR(OR(AND(Procedura!$B$10="Lavori",AC82=10),AND(Procedura!$B$10&lt;&gt;"Lavori",AC82=2)),IF(Procedura!$B$10="Lavori",OR(AC82=3,AC82=13),AC82=5)),ABS(E82-IF(IF(Procedura!$B$10="Lavori",OR(AC82=3,AC82=13),AC82=5),1,IF(Procedura!$B$29="No",1,IF(C82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FISSO",IF(AND(A82="",B82=""),"",IF(OR(A82="",B82="",C82=""),"COMPLETARE VOCE PERSONA RUOLO",IF(COUNTIFS($AA$6:$AA$105,AA82)&gt;1,"PERSONA RIPETUTA NELLA VOCE",IF(INDEX(Voci!$F$6:$F$24,MATCH(A82,Voci!$A$6:$A$24,0))&lt;&gt;"Interna","VOCE NON INTERNA",IF(OR(AND(C82="RUP",B82&lt;&gt;Procedura!$B$28),AND(C82="Responsabile fase",OR(Procedura!$B$29&lt;&gt;"Si",B82&lt;&gt;Procedura!$B$30)),AND(OR(OR(AND(Procedura!$B$10="Lavori",AC82=10),AND(Procedura!$B$10&lt;&gt;"Lavori",AC82=2)),IF(Procedura!$B$10="Lavori",OR(AC82=3,AC82=13),AC82=5)),NOT(OR(C82="RUP",AND(OR(AND(Procedura!$B$10="Lavori",AC82=10),AND(Procedura!$B$10&lt;&gt;"Lavori",AC82=2)),C82="Responsabile fase",Procedura!$B$29="Si")))),AND(IF(Procedura!$B$10="Lavori",OR(AC82=4,AC82=11,AC82=14),OR(AC82=3,AC82=6)),NOT(OR(C82="Supporto",C82="Altro",C82="Responsabile fase")))),"RUOLO NON COERENTE",IF(AND(IF(Procedura!$B$10="Lavori",OR(AC82=4,AC82=11,AC82=14),OR(AC82=3,AC82=6)),B82=Procedura!$B$28),"RUP E COLLABORAZIONE INCOMPATIBILI",IF(AND(AG82&gt;0,AG82&lt;&gt;AF82),"PESI MANUALI SOLO SU ALCUNE RIGHE",IF(AND(J82&gt;0,NOT(AND(Procedura!$B$10="Lavori",OR(AC82=5,AC82=6)))),"RITARDO PROGETTAZIONE NON PERTINENTE",IF(AND(M82&gt;0,M82&lt;5%),"CARENZE INFERIORI AL 5%",IF(AND(OR(J82&gt;0,K82&gt;0,L82&gt;0,M82&gt;0,I82="Si"),N82=""),"MOTIVARE ESCLUSIONE O RIDUZIONE",IF(AND(G82&gt;0,H82="Da verificare"),"ATTESTAZIONE DA ACQUISIRE",IF(AND(G82&gt;0,H82="Si",N82=""),"INDICARE ATTI ATTIVITA","COERENTE"))))))))))))))</f>
        <v/>
      </c>
      <c r="AA82" s="2" t="str">
        <f t="shared" si="39"/>
        <v/>
      </c>
      <c r="AB82" s="2" t="str">
        <f>IF(A82="","",INDEX(Voci!$C$6:$C$24,MATCH(A82,Voci!$A$6:$A$24,0)))</f>
        <v/>
      </c>
      <c r="AC82" s="2">
        <f>IF(A82="",0,INDEX(Voci!$B$6:$B$24,MATCH(A82,Voci!$A$6:$A$24,0)))</f>
        <v>0</v>
      </c>
      <c r="AD82" s="2">
        <f t="shared" si="40"/>
        <v>0</v>
      </c>
      <c r="AE82" s="2">
        <f t="shared" si="41"/>
        <v>0</v>
      </c>
      <c r="AF82" s="2">
        <f t="shared" si="42"/>
        <v>0</v>
      </c>
      <c r="AG82" s="2">
        <f t="shared" si="43"/>
        <v>0</v>
      </c>
      <c r="AH82">
        <f t="shared" si="44"/>
        <v>0</v>
      </c>
    </row>
    <row r="83" spans="1:34" ht="24" customHeight="1">
      <c r="A83" s="5"/>
      <c r="B83" s="5"/>
      <c r="C83" s="5"/>
      <c r="D83" s="8"/>
      <c r="E83" s="10">
        <f>IF(OR(A83="",B83=""),0,IF(ISNUMBER(D83),D83,IF(OR(AND(Procedura!$B$10="Lavori",AC83=10),AND(Procedura!$B$10&lt;&gt;"Lavori",AC83=2)),IF(Procedura!$B$29="Si",IF(C83="RUP",IF(Procedura!$B$10="Lavori",20%,IF(Voci!$M$7&gt;0,(Voci!$J$7*(1-Procedura!$B$39)+(Voci!$J$7*Procedura!$B$39-Voci!$L$7)*20%)/Voci!$M$7,0)),IF(C83="Responsabile fase",IF(Procedura!$B$10="Lavori",80%,IF(Voci!$M$7&gt;0,(Voci!$J$7*Procedura!$B$39-Voci!$L$7)*80%/Voci!$M$7,0)),0)),IF(C83="RUP",1,0)),IF(IF(Procedura!$B$10="Lavori",OR(AC83=3,AC83=13),AC83=5),IF(C83="RUP",1,0),IF(IF(Procedura!$B$10="Lavori",OR(AC83=4,AC83=11,AC83=14),OR(AC83=3,AC83=6)),IF(AND(AD83&gt;0,AE83&gt;0),IF(OR(C83="Supporto",C83="Responsabile fase"),60%/AD83,IF(C83="Altro",40%/AE83,0)),IF(AF83&gt;0,1/AF83,0)),IF(AF83&gt;0,1/AF83,0))))))</f>
        <v>0</v>
      </c>
      <c r="F83" s="11">
        <f>IF(A83="",0,INDEX(Voci!$M$6:$M$24,MATCH(A83,Voci!$A$6:$A$24,0))*E83)</f>
        <v>0</v>
      </c>
      <c r="G83" s="11">
        <f>IF(A83="",0,INDEX(Voci!$O$6:$O$24,MATCH(A83,Voci!$A$6:$A$24,0))*E83)</f>
        <v>0</v>
      </c>
      <c r="H83" s="5" t="s">
        <v>60</v>
      </c>
      <c r="I83" s="5" t="s">
        <v>67</v>
      </c>
      <c r="J83" s="8">
        <v>0</v>
      </c>
      <c r="K83" s="8">
        <v>0</v>
      </c>
      <c r="L83" s="8">
        <v>0</v>
      </c>
      <c r="M83" s="8">
        <v>0</v>
      </c>
      <c r="N83" s="5"/>
      <c r="O83" s="10">
        <f t="shared" si="30"/>
        <v>0</v>
      </c>
      <c r="P83" s="10">
        <f t="shared" si="31"/>
        <v>0</v>
      </c>
      <c r="Q83" s="10">
        <f t="shared" si="32"/>
        <v>0</v>
      </c>
      <c r="R83" s="10">
        <f t="shared" si="33"/>
        <v>0</v>
      </c>
      <c r="S83" s="11">
        <f t="shared" si="34"/>
        <v>0</v>
      </c>
      <c r="T83" s="11">
        <f t="shared" si="35"/>
        <v>0</v>
      </c>
      <c r="U83" s="11">
        <f t="shared" si="36"/>
        <v>0</v>
      </c>
      <c r="V83" s="10">
        <f>IF(B83="",0,INDEX(Personale!$F$6:$F$25,MATCH(B83,Personale!$A$6:$A$25,0)))</f>
        <v>0</v>
      </c>
      <c r="W83" s="11">
        <f t="shared" si="37"/>
        <v>0</v>
      </c>
      <c r="X83" s="11">
        <f t="shared" si="38"/>
        <v>0</v>
      </c>
      <c r="Y83" s="11">
        <f>IF(B83="",0,W83*INDEX(Personale!$G$6:$G$25,MATCH(B83,Personale!$A$6:$A$25,0)))</f>
        <v>0</v>
      </c>
      <c r="Z83" s="2" t="str">
        <f>IF(AND(A83&lt;&gt;"",Procedura!$B$10&lt;&gt;"Lavori",AC83=7,B83=Procedura!$B$28),"DEC DEVE ESSERE DIVERSO DAL RUP",IF(AND(ISNUMBER(D83),OR(OR(AND(Procedura!$B$10="Lavori",AC83=10),AND(Procedura!$B$10&lt;&gt;"Lavori",AC83=2)),IF(Procedura!$B$10="Lavori",OR(AC83=3,AC83=13),AC83=5)),ABS(E83-IF(IF(Procedura!$B$10="Lavori",OR(AC83=3,AC83=13),AC83=5),1,IF(Procedura!$B$29="No",1,IF(C83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FISSO",IF(AND(A83="",B83=""),"",IF(OR(A83="",B83="",C83=""),"COMPLETARE VOCE PERSONA RUOLO",IF(COUNTIFS($AA$6:$AA$105,AA83)&gt;1,"PERSONA RIPETUTA NELLA VOCE",IF(INDEX(Voci!$F$6:$F$24,MATCH(A83,Voci!$A$6:$A$24,0))&lt;&gt;"Interna","VOCE NON INTERNA",IF(OR(AND(C83="RUP",B83&lt;&gt;Procedura!$B$28),AND(C83="Responsabile fase",OR(Procedura!$B$29&lt;&gt;"Si",B83&lt;&gt;Procedura!$B$30)),AND(OR(OR(AND(Procedura!$B$10="Lavori",AC83=10),AND(Procedura!$B$10&lt;&gt;"Lavori",AC83=2)),IF(Procedura!$B$10="Lavori",OR(AC83=3,AC83=13),AC83=5)),NOT(OR(C83="RUP",AND(OR(AND(Procedura!$B$10="Lavori",AC83=10),AND(Procedura!$B$10&lt;&gt;"Lavori",AC83=2)),C83="Responsabile fase",Procedura!$B$29="Si")))),AND(IF(Procedura!$B$10="Lavori",OR(AC83=4,AC83=11,AC83=14),OR(AC83=3,AC83=6)),NOT(OR(C83="Supporto",C83="Altro",C83="Responsabile fase")))),"RUOLO NON COERENTE",IF(AND(IF(Procedura!$B$10="Lavori",OR(AC83=4,AC83=11,AC83=14),OR(AC83=3,AC83=6)),B83=Procedura!$B$28),"RUP E COLLABORAZIONE INCOMPATIBILI",IF(AND(AG83&gt;0,AG83&lt;&gt;AF83),"PESI MANUALI SOLO SU ALCUNE RIGHE",IF(AND(J83&gt;0,NOT(AND(Procedura!$B$10="Lavori",OR(AC83=5,AC83=6)))),"RITARDO PROGETTAZIONE NON PERTINENTE",IF(AND(M83&gt;0,M83&lt;5%),"CARENZE INFERIORI AL 5%",IF(AND(OR(J83&gt;0,K83&gt;0,L83&gt;0,M83&gt;0,I83="Si"),N83=""),"MOTIVARE ESCLUSIONE O RIDUZIONE",IF(AND(G83&gt;0,H83="Da verificare"),"ATTESTAZIONE DA ACQUISIRE",IF(AND(G83&gt;0,H83="Si",N83=""),"INDICARE ATTI ATTIVITA","COERENTE"))))))))))))))</f>
        <v/>
      </c>
      <c r="AA83" s="2" t="str">
        <f t="shared" si="39"/>
        <v/>
      </c>
      <c r="AB83" s="2" t="str">
        <f>IF(A83="","",INDEX(Voci!$C$6:$C$24,MATCH(A83,Voci!$A$6:$A$24,0)))</f>
        <v/>
      </c>
      <c r="AC83" s="2">
        <f>IF(A83="",0,INDEX(Voci!$B$6:$B$24,MATCH(A83,Voci!$A$6:$A$24,0)))</f>
        <v>0</v>
      </c>
      <c r="AD83" s="2">
        <f t="shared" si="40"/>
        <v>0</v>
      </c>
      <c r="AE83" s="2">
        <f t="shared" si="41"/>
        <v>0</v>
      </c>
      <c r="AF83" s="2">
        <f t="shared" si="42"/>
        <v>0</v>
      </c>
      <c r="AG83" s="2">
        <f t="shared" si="43"/>
        <v>0</v>
      </c>
      <c r="AH83">
        <f t="shared" si="44"/>
        <v>0</v>
      </c>
    </row>
    <row r="84" spans="1:34" ht="24" customHeight="1">
      <c r="A84" s="5"/>
      <c r="B84" s="5"/>
      <c r="C84" s="5"/>
      <c r="D84" s="8"/>
      <c r="E84" s="10">
        <f>IF(OR(A84="",B84=""),0,IF(ISNUMBER(D84),D84,IF(OR(AND(Procedura!$B$10="Lavori",AC84=10),AND(Procedura!$B$10&lt;&gt;"Lavori",AC84=2)),IF(Procedura!$B$29="Si",IF(C84="RUP",IF(Procedura!$B$10="Lavori",20%,IF(Voci!$M$7&gt;0,(Voci!$J$7*(1-Procedura!$B$39)+(Voci!$J$7*Procedura!$B$39-Voci!$L$7)*20%)/Voci!$M$7,0)),IF(C84="Responsabile fase",IF(Procedura!$B$10="Lavori",80%,IF(Voci!$M$7&gt;0,(Voci!$J$7*Procedura!$B$39-Voci!$L$7)*80%/Voci!$M$7,0)),0)),IF(C84="RUP",1,0)),IF(IF(Procedura!$B$10="Lavori",OR(AC84=3,AC84=13),AC84=5),IF(C84="RUP",1,0),IF(IF(Procedura!$B$10="Lavori",OR(AC84=4,AC84=11,AC84=14),OR(AC84=3,AC84=6)),IF(AND(AD84&gt;0,AE84&gt;0),IF(OR(C84="Supporto",C84="Responsabile fase"),60%/AD84,IF(C84="Altro",40%/AE84,0)),IF(AF84&gt;0,1/AF84,0)),IF(AF84&gt;0,1/AF84,0))))))</f>
        <v>0</v>
      </c>
      <c r="F84" s="11">
        <f>IF(A84="",0,INDEX(Voci!$M$6:$M$24,MATCH(A84,Voci!$A$6:$A$24,0))*E84)</f>
        <v>0</v>
      </c>
      <c r="G84" s="11">
        <f>IF(A84="",0,INDEX(Voci!$O$6:$O$24,MATCH(A84,Voci!$A$6:$A$24,0))*E84)</f>
        <v>0</v>
      </c>
      <c r="H84" s="5" t="s">
        <v>60</v>
      </c>
      <c r="I84" s="5" t="s">
        <v>67</v>
      </c>
      <c r="J84" s="8">
        <v>0</v>
      </c>
      <c r="K84" s="8">
        <v>0</v>
      </c>
      <c r="L84" s="8">
        <v>0</v>
      </c>
      <c r="M84" s="8">
        <v>0</v>
      </c>
      <c r="N84" s="5"/>
      <c r="O84" s="10">
        <f t="shared" si="30"/>
        <v>0</v>
      </c>
      <c r="P84" s="10">
        <f t="shared" si="31"/>
        <v>0</v>
      </c>
      <c r="Q84" s="10">
        <f t="shared" si="32"/>
        <v>0</v>
      </c>
      <c r="R84" s="10">
        <f t="shared" si="33"/>
        <v>0</v>
      </c>
      <c r="S84" s="11">
        <f t="shared" si="34"/>
        <v>0</v>
      </c>
      <c r="T84" s="11">
        <f t="shared" si="35"/>
        <v>0</v>
      </c>
      <c r="U84" s="11">
        <f t="shared" si="36"/>
        <v>0</v>
      </c>
      <c r="V84" s="10">
        <f>IF(B84="",0,INDEX(Personale!$F$6:$F$25,MATCH(B84,Personale!$A$6:$A$25,0)))</f>
        <v>0</v>
      </c>
      <c r="W84" s="11">
        <f t="shared" si="37"/>
        <v>0</v>
      </c>
      <c r="X84" s="11">
        <f t="shared" si="38"/>
        <v>0</v>
      </c>
      <c r="Y84" s="11">
        <f>IF(B84="",0,W84*INDEX(Personale!$G$6:$G$25,MATCH(B84,Personale!$A$6:$A$25,0)))</f>
        <v>0</v>
      </c>
      <c r="Z84" s="2" t="str">
        <f>IF(AND(A84&lt;&gt;"",Procedura!$B$10&lt;&gt;"Lavori",AC84=7,B84=Procedura!$B$28),"DEC DEVE ESSERE DIVERSO DAL RUP",IF(AND(ISNUMBER(D84),OR(OR(AND(Procedura!$B$10="Lavori",AC84=10),AND(Procedura!$B$10&lt;&gt;"Lavori",AC84=2)),IF(Procedura!$B$10="Lavori",OR(AC84=3,AC84=13),AC84=5)),ABS(E84-IF(IF(Procedura!$B$10="Lavori",OR(AC84=3,AC84=13),AC84=5),1,IF(Procedura!$B$29="No",1,IF(C84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FISSO",IF(AND(A84="",B84=""),"",IF(OR(A84="",B84="",C84=""),"COMPLETARE VOCE PERSONA RUOLO",IF(COUNTIFS($AA$6:$AA$105,AA84)&gt;1,"PERSONA RIPETUTA NELLA VOCE",IF(INDEX(Voci!$F$6:$F$24,MATCH(A84,Voci!$A$6:$A$24,0))&lt;&gt;"Interna","VOCE NON INTERNA",IF(OR(AND(C84="RUP",B84&lt;&gt;Procedura!$B$28),AND(C84="Responsabile fase",OR(Procedura!$B$29&lt;&gt;"Si",B84&lt;&gt;Procedura!$B$30)),AND(OR(OR(AND(Procedura!$B$10="Lavori",AC84=10),AND(Procedura!$B$10&lt;&gt;"Lavori",AC84=2)),IF(Procedura!$B$10="Lavori",OR(AC84=3,AC84=13),AC84=5)),NOT(OR(C84="RUP",AND(OR(AND(Procedura!$B$10="Lavori",AC84=10),AND(Procedura!$B$10&lt;&gt;"Lavori",AC84=2)),C84="Responsabile fase",Procedura!$B$29="Si")))),AND(IF(Procedura!$B$10="Lavori",OR(AC84=4,AC84=11,AC84=14),OR(AC84=3,AC84=6)),NOT(OR(C84="Supporto",C84="Altro",C84="Responsabile fase")))),"RUOLO NON COERENTE",IF(AND(IF(Procedura!$B$10="Lavori",OR(AC84=4,AC84=11,AC84=14),OR(AC84=3,AC84=6)),B84=Procedura!$B$28),"RUP E COLLABORAZIONE INCOMPATIBILI",IF(AND(AG84&gt;0,AG84&lt;&gt;AF84),"PESI MANUALI SOLO SU ALCUNE RIGHE",IF(AND(J84&gt;0,NOT(AND(Procedura!$B$10="Lavori",OR(AC84=5,AC84=6)))),"RITARDO PROGETTAZIONE NON PERTINENTE",IF(AND(M84&gt;0,M84&lt;5%),"CARENZE INFERIORI AL 5%",IF(AND(OR(J84&gt;0,K84&gt;0,L84&gt;0,M84&gt;0,I84="Si"),N84=""),"MOTIVARE ESCLUSIONE O RIDUZIONE",IF(AND(G84&gt;0,H84="Da verificare"),"ATTESTAZIONE DA ACQUISIRE",IF(AND(G84&gt;0,H84="Si",N84=""),"INDICARE ATTI ATTIVITA","COERENTE"))))))))))))))</f>
        <v/>
      </c>
      <c r="AA84" s="2" t="str">
        <f t="shared" si="39"/>
        <v/>
      </c>
      <c r="AB84" s="2" t="str">
        <f>IF(A84="","",INDEX(Voci!$C$6:$C$24,MATCH(A84,Voci!$A$6:$A$24,0)))</f>
        <v/>
      </c>
      <c r="AC84" s="2">
        <f>IF(A84="",0,INDEX(Voci!$B$6:$B$24,MATCH(A84,Voci!$A$6:$A$24,0)))</f>
        <v>0</v>
      </c>
      <c r="AD84" s="2">
        <f t="shared" si="40"/>
        <v>0</v>
      </c>
      <c r="AE84" s="2">
        <f t="shared" si="41"/>
        <v>0</v>
      </c>
      <c r="AF84" s="2">
        <f t="shared" si="42"/>
        <v>0</v>
      </c>
      <c r="AG84" s="2">
        <f t="shared" si="43"/>
        <v>0</v>
      </c>
      <c r="AH84">
        <f t="shared" si="44"/>
        <v>0</v>
      </c>
    </row>
    <row r="85" spans="1:34" ht="24" customHeight="1">
      <c r="A85" s="5"/>
      <c r="B85" s="5"/>
      <c r="C85" s="5"/>
      <c r="D85" s="8"/>
      <c r="E85" s="10">
        <f>IF(OR(A85="",B85=""),0,IF(ISNUMBER(D85),D85,IF(OR(AND(Procedura!$B$10="Lavori",AC85=10),AND(Procedura!$B$10&lt;&gt;"Lavori",AC85=2)),IF(Procedura!$B$29="Si",IF(C85="RUP",IF(Procedura!$B$10="Lavori",20%,IF(Voci!$M$7&gt;0,(Voci!$J$7*(1-Procedura!$B$39)+(Voci!$J$7*Procedura!$B$39-Voci!$L$7)*20%)/Voci!$M$7,0)),IF(C85="Responsabile fase",IF(Procedura!$B$10="Lavori",80%,IF(Voci!$M$7&gt;0,(Voci!$J$7*Procedura!$B$39-Voci!$L$7)*80%/Voci!$M$7,0)),0)),IF(C85="RUP",1,0)),IF(IF(Procedura!$B$10="Lavori",OR(AC85=3,AC85=13),AC85=5),IF(C85="RUP",1,0),IF(IF(Procedura!$B$10="Lavori",OR(AC85=4,AC85=11,AC85=14),OR(AC85=3,AC85=6)),IF(AND(AD85&gt;0,AE85&gt;0),IF(OR(C85="Supporto",C85="Responsabile fase"),60%/AD85,IF(C85="Altro",40%/AE85,0)),IF(AF85&gt;0,1/AF85,0)),IF(AF85&gt;0,1/AF85,0))))))</f>
        <v>0</v>
      </c>
      <c r="F85" s="11">
        <f>IF(A85="",0,INDEX(Voci!$M$6:$M$24,MATCH(A85,Voci!$A$6:$A$24,0))*E85)</f>
        <v>0</v>
      </c>
      <c r="G85" s="11">
        <f>IF(A85="",0,INDEX(Voci!$O$6:$O$24,MATCH(A85,Voci!$A$6:$A$24,0))*E85)</f>
        <v>0</v>
      </c>
      <c r="H85" s="5" t="s">
        <v>60</v>
      </c>
      <c r="I85" s="5" t="s">
        <v>67</v>
      </c>
      <c r="J85" s="8">
        <v>0</v>
      </c>
      <c r="K85" s="8">
        <v>0</v>
      </c>
      <c r="L85" s="8">
        <v>0</v>
      </c>
      <c r="M85" s="8">
        <v>0</v>
      </c>
      <c r="N85" s="5"/>
      <c r="O85" s="10">
        <f t="shared" si="30"/>
        <v>0</v>
      </c>
      <c r="P85" s="10">
        <f t="shared" si="31"/>
        <v>0</v>
      </c>
      <c r="Q85" s="10">
        <f t="shared" si="32"/>
        <v>0</v>
      </c>
      <c r="R85" s="10">
        <f t="shared" si="33"/>
        <v>0</v>
      </c>
      <c r="S85" s="11">
        <f t="shared" si="34"/>
        <v>0</v>
      </c>
      <c r="T85" s="11">
        <f t="shared" si="35"/>
        <v>0</v>
      </c>
      <c r="U85" s="11">
        <f t="shared" si="36"/>
        <v>0</v>
      </c>
      <c r="V85" s="10">
        <f>IF(B85="",0,INDEX(Personale!$F$6:$F$25,MATCH(B85,Personale!$A$6:$A$25,0)))</f>
        <v>0</v>
      </c>
      <c r="W85" s="11">
        <f t="shared" si="37"/>
        <v>0</v>
      </c>
      <c r="X85" s="11">
        <f t="shared" si="38"/>
        <v>0</v>
      </c>
      <c r="Y85" s="11">
        <f>IF(B85="",0,W85*INDEX(Personale!$G$6:$G$25,MATCH(B85,Personale!$A$6:$A$25,0)))</f>
        <v>0</v>
      </c>
      <c r="Z85" s="2" t="str">
        <f>IF(AND(A85&lt;&gt;"",Procedura!$B$10&lt;&gt;"Lavori",AC85=7,B85=Procedura!$B$28),"DEC DEVE ESSERE DIVERSO DAL RUP",IF(AND(ISNUMBER(D85),OR(OR(AND(Procedura!$B$10="Lavori",AC85=10),AND(Procedura!$B$10&lt;&gt;"Lavori",AC85=2)),IF(Procedura!$B$10="Lavori",OR(AC85=3,AC85=13),AC85=5)),ABS(E85-IF(IF(Procedura!$B$10="Lavori",OR(AC85=3,AC85=13),AC85=5),1,IF(Procedura!$B$29="No",1,IF(C85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FISSO",IF(AND(A85="",B85=""),"",IF(OR(A85="",B85="",C85=""),"COMPLETARE VOCE PERSONA RUOLO",IF(COUNTIFS($AA$6:$AA$105,AA85)&gt;1,"PERSONA RIPETUTA NELLA VOCE",IF(INDEX(Voci!$F$6:$F$24,MATCH(A85,Voci!$A$6:$A$24,0))&lt;&gt;"Interna","VOCE NON INTERNA",IF(OR(AND(C85="RUP",B85&lt;&gt;Procedura!$B$28),AND(C85="Responsabile fase",OR(Procedura!$B$29&lt;&gt;"Si",B85&lt;&gt;Procedura!$B$30)),AND(OR(OR(AND(Procedura!$B$10="Lavori",AC85=10),AND(Procedura!$B$10&lt;&gt;"Lavori",AC85=2)),IF(Procedura!$B$10="Lavori",OR(AC85=3,AC85=13),AC85=5)),NOT(OR(C85="RUP",AND(OR(AND(Procedura!$B$10="Lavori",AC85=10),AND(Procedura!$B$10&lt;&gt;"Lavori",AC85=2)),C85="Responsabile fase",Procedura!$B$29="Si")))),AND(IF(Procedura!$B$10="Lavori",OR(AC85=4,AC85=11,AC85=14),OR(AC85=3,AC85=6)),NOT(OR(C85="Supporto",C85="Altro",C85="Responsabile fase")))),"RUOLO NON COERENTE",IF(AND(IF(Procedura!$B$10="Lavori",OR(AC85=4,AC85=11,AC85=14),OR(AC85=3,AC85=6)),B85=Procedura!$B$28),"RUP E COLLABORAZIONE INCOMPATIBILI",IF(AND(AG85&gt;0,AG85&lt;&gt;AF85),"PESI MANUALI SOLO SU ALCUNE RIGHE",IF(AND(J85&gt;0,NOT(AND(Procedura!$B$10="Lavori",OR(AC85=5,AC85=6)))),"RITARDO PROGETTAZIONE NON PERTINENTE",IF(AND(M85&gt;0,M85&lt;5%),"CARENZE INFERIORI AL 5%",IF(AND(OR(J85&gt;0,K85&gt;0,L85&gt;0,M85&gt;0,I85="Si"),N85=""),"MOTIVARE ESCLUSIONE O RIDUZIONE",IF(AND(G85&gt;0,H85="Da verificare"),"ATTESTAZIONE DA ACQUISIRE",IF(AND(G85&gt;0,H85="Si",N85=""),"INDICARE ATTI ATTIVITA","COERENTE"))))))))))))))</f>
        <v/>
      </c>
      <c r="AA85" s="2" t="str">
        <f t="shared" si="39"/>
        <v/>
      </c>
      <c r="AB85" s="2" t="str">
        <f>IF(A85="","",INDEX(Voci!$C$6:$C$24,MATCH(A85,Voci!$A$6:$A$24,0)))</f>
        <v/>
      </c>
      <c r="AC85" s="2">
        <f>IF(A85="",0,INDEX(Voci!$B$6:$B$24,MATCH(A85,Voci!$A$6:$A$24,0)))</f>
        <v>0</v>
      </c>
      <c r="AD85" s="2">
        <f t="shared" si="40"/>
        <v>0</v>
      </c>
      <c r="AE85" s="2">
        <f t="shared" si="41"/>
        <v>0</v>
      </c>
      <c r="AF85" s="2">
        <f t="shared" si="42"/>
        <v>0</v>
      </c>
      <c r="AG85" s="2">
        <f t="shared" si="43"/>
        <v>0</v>
      </c>
      <c r="AH85">
        <f t="shared" si="44"/>
        <v>0</v>
      </c>
    </row>
    <row r="86" spans="1:34" ht="24" customHeight="1">
      <c r="A86" s="5"/>
      <c r="B86" s="5"/>
      <c r="C86" s="5"/>
      <c r="D86" s="8"/>
      <c r="E86" s="10">
        <f>IF(OR(A86="",B86=""),0,IF(ISNUMBER(D86),D86,IF(OR(AND(Procedura!$B$10="Lavori",AC86=10),AND(Procedura!$B$10&lt;&gt;"Lavori",AC86=2)),IF(Procedura!$B$29="Si",IF(C86="RUP",IF(Procedura!$B$10="Lavori",20%,IF(Voci!$M$7&gt;0,(Voci!$J$7*(1-Procedura!$B$39)+(Voci!$J$7*Procedura!$B$39-Voci!$L$7)*20%)/Voci!$M$7,0)),IF(C86="Responsabile fase",IF(Procedura!$B$10="Lavori",80%,IF(Voci!$M$7&gt;0,(Voci!$J$7*Procedura!$B$39-Voci!$L$7)*80%/Voci!$M$7,0)),0)),IF(C86="RUP",1,0)),IF(IF(Procedura!$B$10="Lavori",OR(AC86=3,AC86=13),AC86=5),IF(C86="RUP",1,0),IF(IF(Procedura!$B$10="Lavori",OR(AC86=4,AC86=11,AC86=14),OR(AC86=3,AC86=6)),IF(AND(AD86&gt;0,AE86&gt;0),IF(OR(C86="Supporto",C86="Responsabile fase"),60%/AD86,IF(C86="Altro",40%/AE86,0)),IF(AF86&gt;0,1/AF86,0)),IF(AF86&gt;0,1/AF86,0))))))</f>
        <v>0</v>
      </c>
      <c r="F86" s="11">
        <f>IF(A86="",0,INDEX(Voci!$M$6:$M$24,MATCH(A86,Voci!$A$6:$A$24,0))*E86)</f>
        <v>0</v>
      </c>
      <c r="G86" s="11">
        <f>IF(A86="",0,INDEX(Voci!$O$6:$O$24,MATCH(A86,Voci!$A$6:$A$24,0))*E86)</f>
        <v>0</v>
      </c>
      <c r="H86" s="5" t="s">
        <v>60</v>
      </c>
      <c r="I86" s="5" t="s">
        <v>67</v>
      </c>
      <c r="J86" s="8">
        <v>0</v>
      </c>
      <c r="K86" s="8">
        <v>0</v>
      </c>
      <c r="L86" s="8">
        <v>0</v>
      </c>
      <c r="M86" s="8">
        <v>0</v>
      </c>
      <c r="N86" s="5"/>
      <c r="O86" s="10">
        <f t="shared" si="30"/>
        <v>0</v>
      </c>
      <c r="P86" s="10">
        <f t="shared" si="31"/>
        <v>0</v>
      </c>
      <c r="Q86" s="10">
        <f t="shared" si="32"/>
        <v>0</v>
      </c>
      <c r="R86" s="10">
        <f t="shared" si="33"/>
        <v>0</v>
      </c>
      <c r="S86" s="11">
        <f t="shared" si="34"/>
        <v>0</v>
      </c>
      <c r="T86" s="11">
        <f t="shared" si="35"/>
        <v>0</v>
      </c>
      <c r="U86" s="11">
        <f t="shared" si="36"/>
        <v>0</v>
      </c>
      <c r="V86" s="10">
        <f>IF(B86="",0,INDEX(Personale!$F$6:$F$25,MATCH(B86,Personale!$A$6:$A$25,0)))</f>
        <v>0</v>
      </c>
      <c r="W86" s="11">
        <f t="shared" si="37"/>
        <v>0</v>
      </c>
      <c r="X86" s="11">
        <f t="shared" si="38"/>
        <v>0</v>
      </c>
      <c r="Y86" s="11">
        <f>IF(B86="",0,W86*INDEX(Personale!$G$6:$G$25,MATCH(B86,Personale!$A$6:$A$25,0)))</f>
        <v>0</v>
      </c>
      <c r="Z86" s="2" t="str">
        <f>IF(AND(A86&lt;&gt;"",Procedura!$B$10&lt;&gt;"Lavori",AC86=7,B86=Procedura!$B$28),"DEC DEVE ESSERE DIVERSO DAL RUP",IF(AND(ISNUMBER(D86),OR(OR(AND(Procedura!$B$10="Lavori",AC86=10),AND(Procedura!$B$10&lt;&gt;"Lavori",AC86=2)),IF(Procedura!$B$10="Lavori",OR(AC86=3,AC86=13),AC86=5)),ABS(E86-IF(IF(Procedura!$B$10="Lavori",OR(AC86=3,AC86=13),AC86=5),1,IF(Procedura!$B$29="No",1,IF(C86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FISSO",IF(AND(A86="",B86=""),"",IF(OR(A86="",B86="",C86=""),"COMPLETARE VOCE PERSONA RUOLO",IF(COUNTIFS($AA$6:$AA$105,AA86)&gt;1,"PERSONA RIPETUTA NELLA VOCE",IF(INDEX(Voci!$F$6:$F$24,MATCH(A86,Voci!$A$6:$A$24,0))&lt;&gt;"Interna","VOCE NON INTERNA",IF(OR(AND(C86="RUP",B86&lt;&gt;Procedura!$B$28),AND(C86="Responsabile fase",OR(Procedura!$B$29&lt;&gt;"Si",B86&lt;&gt;Procedura!$B$30)),AND(OR(OR(AND(Procedura!$B$10="Lavori",AC86=10),AND(Procedura!$B$10&lt;&gt;"Lavori",AC86=2)),IF(Procedura!$B$10="Lavori",OR(AC86=3,AC86=13),AC86=5)),NOT(OR(C86="RUP",AND(OR(AND(Procedura!$B$10="Lavori",AC86=10),AND(Procedura!$B$10&lt;&gt;"Lavori",AC86=2)),C86="Responsabile fase",Procedura!$B$29="Si")))),AND(IF(Procedura!$B$10="Lavori",OR(AC86=4,AC86=11,AC86=14),OR(AC86=3,AC86=6)),NOT(OR(C86="Supporto",C86="Altro",C86="Responsabile fase")))),"RUOLO NON COERENTE",IF(AND(IF(Procedura!$B$10="Lavori",OR(AC86=4,AC86=11,AC86=14),OR(AC86=3,AC86=6)),B86=Procedura!$B$28),"RUP E COLLABORAZIONE INCOMPATIBILI",IF(AND(AG86&gt;0,AG86&lt;&gt;AF86),"PESI MANUALI SOLO SU ALCUNE RIGHE",IF(AND(J86&gt;0,NOT(AND(Procedura!$B$10="Lavori",OR(AC86=5,AC86=6)))),"RITARDO PROGETTAZIONE NON PERTINENTE",IF(AND(M86&gt;0,M86&lt;5%),"CARENZE INFERIORI AL 5%",IF(AND(OR(J86&gt;0,K86&gt;0,L86&gt;0,M86&gt;0,I86="Si"),N86=""),"MOTIVARE ESCLUSIONE O RIDUZIONE",IF(AND(G86&gt;0,H86="Da verificare"),"ATTESTAZIONE DA ACQUISIRE",IF(AND(G86&gt;0,H86="Si",N86=""),"INDICARE ATTI ATTIVITA","COERENTE"))))))))))))))</f>
        <v/>
      </c>
      <c r="AA86" s="2" t="str">
        <f t="shared" si="39"/>
        <v/>
      </c>
      <c r="AB86" s="2" t="str">
        <f>IF(A86="","",INDEX(Voci!$C$6:$C$24,MATCH(A86,Voci!$A$6:$A$24,0)))</f>
        <v/>
      </c>
      <c r="AC86" s="2">
        <f>IF(A86="",0,INDEX(Voci!$B$6:$B$24,MATCH(A86,Voci!$A$6:$A$24,0)))</f>
        <v>0</v>
      </c>
      <c r="AD86" s="2">
        <f t="shared" si="40"/>
        <v>0</v>
      </c>
      <c r="AE86" s="2">
        <f t="shared" si="41"/>
        <v>0</v>
      </c>
      <c r="AF86" s="2">
        <f t="shared" si="42"/>
        <v>0</v>
      </c>
      <c r="AG86" s="2">
        <f t="shared" si="43"/>
        <v>0</v>
      </c>
      <c r="AH86">
        <f t="shared" si="44"/>
        <v>0</v>
      </c>
    </row>
    <row r="87" spans="1:34" ht="24" customHeight="1">
      <c r="A87" s="5"/>
      <c r="B87" s="5"/>
      <c r="C87" s="5"/>
      <c r="D87" s="8"/>
      <c r="E87" s="10">
        <f>IF(OR(A87="",B87=""),0,IF(ISNUMBER(D87),D87,IF(OR(AND(Procedura!$B$10="Lavori",AC87=10),AND(Procedura!$B$10&lt;&gt;"Lavori",AC87=2)),IF(Procedura!$B$29="Si",IF(C87="RUP",IF(Procedura!$B$10="Lavori",20%,IF(Voci!$M$7&gt;0,(Voci!$J$7*(1-Procedura!$B$39)+(Voci!$J$7*Procedura!$B$39-Voci!$L$7)*20%)/Voci!$M$7,0)),IF(C87="Responsabile fase",IF(Procedura!$B$10="Lavori",80%,IF(Voci!$M$7&gt;0,(Voci!$J$7*Procedura!$B$39-Voci!$L$7)*80%/Voci!$M$7,0)),0)),IF(C87="RUP",1,0)),IF(IF(Procedura!$B$10="Lavori",OR(AC87=3,AC87=13),AC87=5),IF(C87="RUP",1,0),IF(IF(Procedura!$B$10="Lavori",OR(AC87=4,AC87=11,AC87=14),OR(AC87=3,AC87=6)),IF(AND(AD87&gt;0,AE87&gt;0),IF(OR(C87="Supporto",C87="Responsabile fase"),60%/AD87,IF(C87="Altro",40%/AE87,0)),IF(AF87&gt;0,1/AF87,0)),IF(AF87&gt;0,1/AF87,0))))))</f>
        <v>0</v>
      </c>
      <c r="F87" s="11">
        <f>IF(A87="",0,INDEX(Voci!$M$6:$M$24,MATCH(A87,Voci!$A$6:$A$24,0))*E87)</f>
        <v>0</v>
      </c>
      <c r="G87" s="11">
        <f>IF(A87="",0,INDEX(Voci!$O$6:$O$24,MATCH(A87,Voci!$A$6:$A$24,0))*E87)</f>
        <v>0</v>
      </c>
      <c r="H87" s="5" t="s">
        <v>60</v>
      </c>
      <c r="I87" s="5" t="s">
        <v>67</v>
      </c>
      <c r="J87" s="8">
        <v>0</v>
      </c>
      <c r="K87" s="8">
        <v>0</v>
      </c>
      <c r="L87" s="8">
        <v>0</v>
      </c>
      <c r="M87" s="8">
        <v>0</v>
      </c>
      <c r="N87" s="5"/>
      <c r="O87" s="10">
        <f t="shared" si="30"/>
        <v>0</v>
      </c>
      <c r="P87" s="10">
        <f t="shared" si="31"/>
        <v>0</v>
      </c>
      <c r="Q87" s="10">
        <f t="shared" si="32"/>
        <v>0</v>
      </c>
      <c r="R87" s="10">
        <f t="shared" si="33"/>
        <v>0</v>
      </c>
      <c r="S87" s="11">
        <f t="shared" si="34"/>
        <v>0</v>
      </c>
      <c r="T87" s="11">
        <f t="shared" si="35"/>
        <v>0</v>
      </c>
      <c r="U87" s="11">
        <f t="shared" si="36"/>
        <v>0</v>
      </c>
      <c r="V87" s="10">
        <f>IF(B87="",0,INDEX(Personale!$F$6:$F$25,MATCH(B87,Personale!$A$6:$A$25,0)))</f>
        <v>0</v>
      </c>
      <c r="W87" s="11">
        <f t="shared" si="37"/>
        <v>0</v>
      </c>
      <c r="X87" s="11">
        <f t="shared" si="38"/>
        <v>0</v>
      </c>
      <c r="Y87" s="11">
        <f>IF(B87="",0,W87*INDEX(Personale!$G$6:$G$25,MATCH(B87,Personale!$A$6:$A$25,0)))</f>
        <v>0</v>
      </c>
      <c r="Z87" s="2" t="str">
        <f>IF(AND(A87&lt;&gt;"",Procedura!$B$10&lt;&gt;"Lavori",AC87=7,B87=Procedura!$B$28),"DEC DEVE ESSERE DIVERSO DAL RUP",IF(AND(ISNUMBER(D87),OR(OR(AND(Procedura!$B$10="Lavori",AC87=10),AND(Procedura!$B$10&lt;&gt;"Lavori",AC87=2)),IF(Procedura!$B$10="Lavori",OR(AC87=3,AC87=13),AC87=5)),ABS(E87-IF(IF(Procedura!$B$10="Lavori",OR(AC87=3,AC87=13),AC87=5),1,IF(Procedura!$B$29="No",1,IF(C87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FISSO",IF(AND(A87="",B87=""),"",IF(OR(A87="",B87="",C87=""),"COMPLETARE VOCE PERSONA RUOLO",IF(COUNTIFS($AA$6:$AA$105,AA87)&gt;1,"PERSONA RIPETUTA NELLA VOCE",IF(INDEX(Voci!$F$6:$F$24,MATCH(A87,Voci!$A$6:$A$24,0))&lt;&gt;"Interna","VOCE NON INTERNA",IF(OR(AND(C87="RUP",B87&lt;&gt;Procedura!$B$28),AND(C87="Responsabile fase",OR(Procedura!$B$29&lt;&gt;"Si",B87&lt;&gt;Procedura!$B$30)),AND(OR(OR(AND(Procedura!$B$10="Lavori",AC87=10),AND(Procedura!$B$10&lt;&gt;"Lavori",AC87=2)),IF(Procedura!$B$10="Lavori",OR(AC87=3,AC87=13),AC87=5)),NOT(OR(C87="RUP",AND(OR(AND(Procedura!$B$10="Lavori",AC87=10),AND(Procedura!$B$10&lt;&gt;"Lavori",AC87=2)),C87="Responsabile fase",Procedura!$B$29="Si")))),AND(IF(Procedura!$B$10="Lavori",OR(AC87=4,AC87=11,AC87=14),OR(AC87=3,AC87=6)),NOT(OR(C87="Supporto",C87="Altro",C87="Responsabile fase")))),"RUOLO NON COERENTE",IF(AND(IF(Procedura!$B$10="Lavori",OR(AC87=4,AC87=11,AC87=14),OR(AC87=3,AC87=6)),B87=Procedura!$B$28),"RUP E COLLABORAZIONE INCOMPATIBILI",IF(AND(AG87&gt;0,AG87&lt;&gt;AF87),"PESI MANUALI SOLO SU ALCUNE RIGHE",IF(AND(J87&gt;0,NOT(AND(Procedura!$B$10="Lavori",OR(AC87=5,AC87=6)))),"RITARDO PROGETTAZIONE NON PERTINENTE",IF(AND(M87&gt;0,M87&lt;5%),"CARENZE INFERIORI AL 5%",IF(AND(OR(J87&gt;0,K87&gt;0,L87&gt;0,M87&gt;0,I87="Si"),N87=""),"MOTIVARE ESCLUSIONE O RIDUZIONE",IF(AND(G87&gt;0,H87="Da verificare"),"ATTESTAZIONE DA ACQUISIRE",IF(AND(G87&gt;0,H87="Si",N87=""),"INDICARE ATTI ATTIVITA","COERENTE"))))))))))))))</f>
        <v/>
      </c>
      <c r="AA87" s="2" t="str">
        <f t="shared" si="39"/>
        <v/>
      </c>
      <c r="AB87" s="2" t="str">
        <f>IF(A87="","",INDEX(Voci!$C$6:$C$24,MATCH(A87,Voci!$A$6:$A$24,0)))</f>
        <v/>
      </c>
      <c r="AC87" s="2">
        <f>IF(A87="",0,INDEX(Voci!$B$6:$B$24,MATCH(A87,Voci!$A$6:$A$24,0)))</f>
        <v>0</v>
      </c>
      <c r="AD87" s="2">
        <f t="shared" si="40"/>
        <v>0</v>
      </c>
      <c r="AE87" s="2">
        <f t="shared" si="41"/>
        <v>0</v>
      </c>
      <c r="AF87" s="2">
        <f t="shared" si="42"/>
        <v>0</v>
      </c>
      <c r="AG87" s="2">
        <f t="shared" si="43"/>
        <v>0</v>
      </c>
      <c r="AH87">
        <f t="shared" si="44"/>
        <v>0</v>
      </c>
    </row>
    <row r="88" spans="1:34" ht="24" customHeight="1">
      <c r="A88" s="5"/>
      <c r="B88" s="5"/>
      <c r="C88" s="5"/>
      <c r="D88" s="8"/>
      <c r="E88" s="10">
        <f>IF(OR(A88="",B88=""),0,IF(ISNUMBER(D88),D88,IF(OR(AND(Procedura!$B$10="Lavori",AC88=10),AND(Procedura!$B$10&lt;&gt;"Lavori",AC88=2)),IF(Procedura!$B$29="Si",IF(C88="RUP",IF(Procedura!$B$10="Lavori",20%,IF(Voci!$M$7&gt;0,(Voci!$J$7*(1-Procedura!$B$39)+(Voci!$J$7*Procedura!$B$39-Voci!$L$7)*20%)/Voci!$M$7,0)),IF(C88="Responsabile fase",IF(Procedura!$B$10="Lavori",80%,IF(Voci!$M$7&gt;0,(Voci!$J$7*Procedura!$B$39-Voci!$L$7)*80%/Voci!$M$7,0)),0)),IF(C88="RUP",1,0)),IF(IF(Procedura!$B$10="Lavori",OR(AC88=3,AC88=13),AC88=5),IF(C88="RUP",1,0),IF(IF(Procedura!$B$10="Lavori",OR(AC88=4,AC88=11,AC88=14),OR(AC88=3,AC88=6)),IF(AND(AD88&gt;0,AE88&gt;0),IF(OR(C88="Supporto",C88="Responsabile fase"),60%/AD88,IF(C88="Altro",40%/AE88,0)),IF(AF88&gt;0,1/AF88,0)),IF(AF88&gt;0,1/AF88,0))))))</f>
        <v>0</v>
      </c>
      <c r="F88" s="11">
        <f>IF(A88="",0,INDEX(Voci!$M$6:$M$24,MATCH(A88,Voci!$A$6:$A$24,0))*E88)</f>
        <v>0</v>
      </c>
      <c r="G88" s="11">
        <f>IF(A88="",0,INDEX(Voci!$O$6:$O$24,MATCH(A88,Voci!$A$6:$A$24,0))*E88)</f>
        <v>0</v>
      </c>
      <c r="H88" s="5" t="s">
        <v>60</v>
      </c>
      <c r="I88" s="5" t="s">
        <v>67</v>
      </c>
      <c r="J88" s="8">
        <v>0</v>
      </c>
      <c r="K88" s="8">
        <v>0</v>
      </c>
      <c r="L88" s="8">
        <v>0</v>
      </c>
      <c r="M88" s="8">
        <v>0</v>
      </c>
      <c r="N88" s="5"/>
      <c r="O88" s="10">
        <f t="shared" si="30"/>
        <v>0</v>
      </c>
      <c r="P88" s="10">
        <f t="shared" si="31"/>
        <v>0</v>
      </c>
      <c r="Q88" s="10">
        <f t="shared" si="32"/>
        <v>0</v>
      </c>
      <c r="R88" s="10">
        <f t="shared" si="33"/>
        <v>0</v>
      </c>
      <c r="S88" s="11">
        <f t="shared" si="34"/>
        <v>0</v>
      </c>
      <c r="T88" s="11">
        <f t="shared" si="35"/>
        <v>0</v>
      </c>
      <c r="U88" s="11">
        <f t="shared" si="36"/>
        <v>0</v>
      </c>
      <c r="V88" s="10">
        <f>IF(B88="",0,INDEX(Personale!$F$6:$F$25,MATCH(B88,Personale!$A$6:$A$25,0)))</f>
        <v>0</v>
      </c>
      <c r="W88" s="11">
        <f t="shared" si="37"/>
        <v>0</v>
      </c>
      <c r="X88" s="11">
        <f t="shared" si="38"/>
        <v>0</v>
      </c>
      <c r="Y88" s="11">
        <f>IF(B88="",0,W88*INDEX(Personale!$G$6:$G$25,MATCH(B88,Personale!$A$6:$A$25,0)))</f>
        <v>0</v>
      </c>
      <c r="Z88" s="2" t="str">
        <f>IF(AND(A88&lt;&gt;"",Procedura!$B$10&lt;&gt;"Lavori",AC88=7,B88=Procedura!$B$28),"DEC DEVE ESSERE DIVERSO DAL RUP",IF(AND(ISNUMBER(D88),OR(OR(AND(Procedura!$B$10="Lavori",AC88=10),AND(Procedura!$B$10&lt;&gt;"Lavori",AC88=2)),IF(Procedura!$B$10="Lavori",OR(AC88=3,AC88=13),AC88=5)),ABS(E88-IF(IF(Procedura!$B$10="Lavori",OR(AC88=3,AC88=13),AC88=5),1,IF(Procedura!$B$29="No",1,IF(C88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FISSO",IF(AND(A88="",B88=""),"",IF(OR(A88="",B88="",C88=""),"COMPLETARE VOCE PERSONA RUOLO",IF(COUNTIFS($AA$6:$AA$105,AA88)&gt;1,"PERSONA RIPETUTA NELLA VOCE",IF(INDEX(Voci!$F$6:$F$24,MATCH(A88,Voci!$A$6:$A$24,0))&lt;&gt;"Interna","VOCE NON INTERNA",IF(OR(AND(C88="RUP",B88&lt;&gt;Procedura!$B$28),AND(C88="Responsabile fase",OR(Procedura!$B$29&lt;&gt;"Si",B88&lt;&gt;Procedura!$B$30)),AND(OR(OR(AND(Procedura!$B$10="Lavori",AC88=10),AND(Procedura!$B$10&lt;&gt;"Lavori",AC88=2)),IF(Procedura!$B$10="Lavori",OR(AC88=3,AC88=13),AC88=5)),NOT(OR(C88="RUP",AND(OR(AND(Procedura!$B$10="Lavori",AC88=10),AND(Procedura!$B$10&lt;&gt;"Lavori",AC88=2)),C88="Responsabile fase",Procedura!$B$29="Si")))),AND(IF(Procedura!$B$10="Lavori",OR(AC88=4,AC88=11,AC88=14),OR(AC88=3,AC88=6)),NOT(OR(C88="Supporto",C88="Altro",C88="Responsabile fase")))),"RUOLO NON COERENTE",IF(AND(IF(Procedura!$B$10="Lavori",OR(AC88=4,AC88=11,AC88=14),OR(AC88=3,AC88=6)),B88=Procedura!$B$28),"RUP E COLLABORAZIONE INCOMPATIBILI",IF(AND(AG88&gt;0,AG88&lt;&gt;AF88),"PESI MANUALI SOLO SU ALCUNE RIGHE",IF(AND(J88&gt;0,NOT(AND(Procedura!$B$10="Lavori",OR(AC88=5,AC88=6)))),"RITARDO PROGETTAZIONE NON PERTINENTE",IF(AND(M88&gt;0,M88&lt;5%),"CARENZE INFERIORI AL 5%",IF(AND(OR(J88&gt;0,K88&gt;0,L88&gt;0,M88&gt;0,I88="Si"),N88=""),"MOTIVARE ESCLUSIONE O RIDUZIONE",IF(AND(G88&gt;0,H88="Da verificare"),"ATTESTAZIONE DA ACQUISIRE",IF(AND(G88&gt;0,H88="Si",N88=""),"INDICARE ATTI ATTIVITA","COERENTE"))))))))))))))</f>
        <v/>
      </c>
      <c r="AA88" s="2" t="str">
        <f t="shared" si="39"/>
        <v/>
      </c>
      <c r="AB88" s="2" t="str">
        <f>IF(A88="","",INDEX(Voci!$C$6:$C$24,MATCH(A88,Voci!$A$6:$A$24,0)))</f>
        <v/>
      </c>
      <c r="AC88" s="2">
        <f>IF(A88="",0,INDEX(Voci!$B$6:$B$24,MATCH(A88,Voci!$A$6:$A$24,0)))</f>
        <v>0</v>
      </c>
      <c r="AD88" s="2">
        <f t="shared" si="40"/>
        <v>0</v>
      </c>
      <c r="AE88" s="2">
        <f t="shared" si="41"/>
        <v>0</v>
      </c>
      <c r="AF88" s="2">
        <f t="shared" si="42"/>
        <v>0</v>
      </c>
      <c r="AG88" s="2">
        <f t="shared" si="43"/>
        <v>0</v>
      </c>
      <c r="AH88">
        <f t="shared" si="44"/>
        <v>0</v>
      </c>
    </row>
    <row r="89" spans="1:34" ht="24" customHeight="1">
      <c r="A89" s="5"/>
      <c r="B89" s="5"/>
      <c r="C89" s="5"/>
      <c r="D89" s="8"/>
      <c r="E89" s="10">
        <f>IF(OR(A89="",B89=""),0,IF(ISNUMBER(D89),D89,IF(OR(AND(Procedura!$B$10="Lavori",AC89=10),AND(Procedura!$B$10&lt;&gt;"Lavori",AC89=2)),IF(Procedura!$B$29="Si",IF(C89="RUP",IF(Procedura!$B$10="Lavori",20%,IF(Voci!$M$7&gt;0,(Voci!$J$7*(1-Procedura!$B$39)+(Voci!$J$7*Procedura!$B$39-Voci!$L$7)*20%)/Voci!$M$7,0)),IF(C89="Responsabile fase",IF(Procedura!$B$10="Lavori",80%,IF(Voci!$M$7&gt;0,(Voci!$J$7*Procedura!$B$39-Voci!$L$7)*80%/Voci!$M$7,0)),0)),IF(C89="RUP",1,0)),IF(IF(Procedura!$B$10="Lavori",OR(AC89=3,AC89=13),AC89=5),IF(C89="RUP",1,0),IF(IF(Procedura!$B$10="Lavori",OR(AC89=4,AC89=11,AC89=14),OR(AC89=3,AC89=6)),IF(AND(AD89&gt;0,AE89&gt;0),IF(OR(C89="Supporto",C89="Responsabile fase"),60%/AD89,IF(C89="Altro",40%/AE89,0)),IF(AF89&gt;0,1/AF89,0)),IF(AF89&gt;0,1/AF89,0))))))</f>
        <v>0</v>
      </c>
      <c r="F89" s="11">
        <f>IF(A89="",0,INDEX(Voci!$M$6:$M$24,MATCH(A89,Voci!$A$6:$A$24,0))*E89)</f>
        <v>0</v>
      </c>
      <c r="G89" s="11">
        <f>IF(A89="",0,INDEX(Voci!$O$6:$O$24,MATCH(A89,Voci!$A$6:$A$24,0))*E89)</f>
        <v>0</v>
      </c>
      <c r="H89" s="5" t="s">
        <v>60</v>
      </c>
      <c r="I89" s="5" t="s">
        <v>67</v>
      </c>
      <c r="J89" s="8">
        <v>0</v>
      </c>
      <c r="K89" s="8">
        <v>0</v>
      </c>
      <c r="L89" s="8">
        <v>0</v>
      </c>
      <c r="M89" s="8">
        <v>0</v>
      </c>
      <c r="N89" s="5"/>
      <c r="O89" s="10">
        <f t="shared" si="30"/>
        <v>0</v>
      </c>
      <c r="P89" s="10">
        <f t="shared" si="31"/>
        <v>0</v>
      </c>
      <c r="Q89" s="10">
        <f t="shared" si="32"/>
        <v>0</v>
      </c>
      <c r="R89" s="10">
        <f t="shared" si="33"/>
        <v>0</v>
      </c>
      <c r="S89" s="11">
        <f t="shared" si="34"/>
        <v>0</v>
      </c>
      <c r="T89" s="11">
        <f t="shared" si="35"/>
        <v>0</v>
      </c>
      <c r="U89" s="11">
        <f t="shared" si="36"/>
        <v>0</v>
      </c>
      <c r="V89" s="10">
        <f>IF(B89="",0,INDEX(Personale!$F$6:$F$25,MATCH(B89,Personale!$A$6:$A$25,0)))</f>
        <v>0</v>
      </c>
      <c r="W89" s="11">
        <f t="shared" si="37"/>
        <v>0</v>
      </c>
      <c r="X89" s="11">
        <f t="shared" si="38"/>
        <v>0</v>
      </c>
      <c r="Y89" s="11">
        <f>IF(B89="",0,W89*INDEX(Personale!$G$6:$G$25,MATCH(B89,Personale!$A$6:$A$25,0)))</f>
        <v>0</v>
      </c>
      <c r="Z89" s="2" t="str">
        <f>IF(AND(A89&lt;&gt;"",Procedura!$B$10&lt;&gt;"Lavori",AC89=7,B89=Procedura!$B$28),"DEC DEVE ESSERE DIVERSO DAL RUP",IF(AND(ISNUMBER(D89),OR(OR(AND(Procedura!$B$10="Lavori",AC89=10),AND(Procedura!$B$10&lt;&gt;"Lavori",AC89=2)),IF(Procedura!$B$10="Lavori",OR(AC89=3,AC89=13),AC89=5)),ABS(E89-IF(IF(Procedura!$B$10="Lavori",OR(AC89=3,AC89=13),AC89=5),1,IF(Procedura!$B$29="No",1,IF(C89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FISSO",IF(AND(A89="",B89=""),"",IF(OR(A89="",B89="",C89=""),"COMPLETARE VOCE PERSONA RUOLO",IF(COUNTIFS($AA$6:$AA$105,AA89)&gt;1,"PERSONA RIPETUTA NELLA VOCE",IF(INDEX(Voci!$F$6:$F$24,MATCH(A89,Voci!$A$6:$A$24,0))&lt;&gt;"Interna","VOCE NON INTERNA",IF(OR(AND(C89="RUP",B89&lt;&gt;Procedura!$B$28),AND(C89="Responsabile fase",OR(Procedura!$B$29&lt;&gt;"Si",B89&lt;&gt;Procedura!$B$30)),AND(OR(OR(AND(Procedura!$B$10="Lavori",AC89=10),AND(Procedura!$B$10&lt;&gt;"Lavori",AC89=2)),IF(Procedura!$B$10="Lavori",OR(AC89=3,AC89=13),AC89=5)),NOT(OR(C89="RUP",AND(OR(AND(Procedura!$B$10="Lavori",AC89=10),AND(Procedura!$B$10&lt;&gt;"Lavori",AC89=2)),C89="Responsabile fase",Procedura!$B$29="Si")))),AND(IF(Procedura!$B$10="Lavori",OR(AC89=4,AC89=11,AC89=14),OR(AC89=3,AC89=6)),NOT(OR(C89="Supporto",C89="Altro",C89="Responsabile fase")))),"RUOLO NON COERENTE",IF(AND(IF(Procedura!$B$10="Lavori",OR(AC89=4,AC89=11,AC89=14),OR(AC89=3,AC89=6)),B89=Procedura!$B$28),"RUP E COLLABORAZIONE INCOMPATIBILI",IF(AND(AG89&gt;0,AG89&lt;&gt;AF89),"PESI MANUALI SOLO SU ALCUNE RIGHE",IF(AND(J89&gt;0,NOT(AND(Procedura!$B$10="Lavori",OR(AC89=5,AC89=6)))),"RITARDO PROGETTAZIONE NON PERTINENTE",IF(AND(M89&gt;0,M89&lt;5%),"CARENZE INFERIORI AL 5%",IF(AND(OR(J89&gt;0,K89&gt;0,L89&gt;0,M89&gt;0,I89="Si"),N89=""),"MOTIVARE ESCLUSIONE O RIDUZIONE",IF(AND(G89&gt;0,H89="Da verificare"),"ATTESTAZIONE DA ACQUISIRE",IF(AND(G89&gt;0,H89="Si",N89=""),"INDICARE ATTI ATTIVITA","COERENTE"))))))))))))))</f>
        <v/>
      </c>
      <c r="AA89" s="2" t="str">
        <f t="shared" si="39"/>
        <v/>
      </c>
      <c r="AB89" s="2" t="str">
        <f>IF(A89="","",INDEX(Voci!$C$6:$C$24,MATCH(A89,Voci!$A$6:$A$24,0)))</f>
        <v/>
      </c>
      <c r="AC89" s="2">
        <f>IF(A89="",0,INDEX(Voci!$B$6:$B$24,MATCH(A89,Voci!$A$6:$A$24,0)))</f>
        <v>0</v>
      </c>
      <c r="AD89" s="2">
        <f t="shared" si="40"/>
        <v>0</v>
      </c>
      <c r="AE89" s="2">
        <f t="shared" si="41"/>
        <v>0</v>
      </c>
      <c r="AF89" s="2">
        <f t="shared" si="42"/>
        <v>0</v>
      </c>
      <c r="AG89" s="2">
        <f t="shared" si="43"/>
        <v>0</v>
      </c>
      <c r="AH89">
        <f t="shared" si="44"/>
        <v>0</v>
      </c>
    </row>
    <row r="90" spans="1:34" ht="24" customHeight="1">
      <c r="A90" s="5"/>
      <c r="B90" s="5"/>
      <c r="C90" s="5"/>
      <c r="D90" s="8"/>
      <c r="E90" s="10">
        <f>IF(OR(A90="",B90=""),0,IF(ISNUMBER(D90),D90,IF(OR(AND(Procedura!$B$10="Lavori",AC90=10),AND(Procedura!$B$10&lt;&gt;"Lavori",AC90=2)),IF(Procedura!$B$29="Si",IF(C90="RUP",IF(Procedura!$B$10="Lavori",20%,IF(Voci!$M$7&gt;0,(Voci!$J$7*(1-Procedura!$B$39)+(Voci!$J$7*Procedura!$B$39-Voci!$L$7)*20%)/Voci!$M$7,0)),IF(C90="Responsabile fase",IF(Procedura!$B$10="Lavori",80%,IF(Voci!$M$7&gt;0,(Voci!$J$7*Procedura!$B$39-Voci!$L$7)*80%/Voci!$M$7,0)),0)),IF(C90="RUP",1,0)),IF(IF(Procedura!$B$10="Lavori",OR(AC90=3,AC90=13),AC90=5),IF(C90="RUP",1,0),IF(IF(Procedura!$B$10="Lavori",OR(AC90=4,AC90=11,AC90=14),OR(AC90=3,AC90=6)),IF(AND(AD90&gt;0,AE90&gt;0),IF(OR(C90="Supporto",C90="Responsabile fase"),60%/AD90,IF(C90="Altro",40%/AE90,0)),IF(AF90&gt;0,1/AF90,0)),IF(AF90&gt;0,1/AF90,0))))))</f>
        <v>0</v>
      </c>
      <c r="F90" s="11">
        <f>IF(A90="",0,INDEX(Voci!$M$6:$M$24,MATCH(A90,Voci!$A$6:$A$24,0))*E90)</f>
        <v>0</v>
      </c>
      <c r="G90" s="11">
        <f>IF(A90="",0,INDEX(Voci!$O$6:$O$24,MATCH(A90,Voci!$A$6:$A$24,0))*E90)</f>
        <v>0</v>
      </c>
      <c r="H90" s="5" t="s">
        <v>60</v>
      </c>
      <c r="I90" s="5" t="s">
        <v>67</v>
      </c>
      <c r="J90" s="8">
        <v>0</v>
      </c>
      <c r="K90" s="8">
        <v>0</v>
      </c>
      <c r="L90" s="8">
        <v>0</v>
      </c>
      <c r="M90" s="8">
        <v>0</v>
      </c>
      <c r="N90" s="5"/>
      <c r="O90" s="10">
        <f t="shared" si="30"/>
        <v>0</v>
      </c>
      <c r="P90" s="10">
        <f t="shared" si="31"/>
        <v>0</v>
      </c>
      <c r="Q90" s="10">
        <f t="shared" si="32"/>
        <v>0</v>
      </c>
      <c r="R90" s="10">
        <f t="shared" si="33"/>
        <v>0</v>
      </c>
      <c r="S90" s="11">
        <f t="shared" si="34"/>
        <v>0</v>
      </c>
      <c r="T90" s="11">
        <f t="shared" si="35"/>
        <v>0</v>
      </c>
      <c r="U90" s="11">
        <f t="shared" si="36"/>
        <v>0</v>
      </c>
      <c r="V90" s="10">
        <f>IF(B90="",0,INDEX(Personale!$F$6:$F$25,MATCH(B90,Personale!$A$6:$A$25,0)))</f>
        <v>0</v>
      </c>
      <c r="W90" s="11">
        <f t="shared" si="37"/>
        <v>0</v>
      </c>
      <c r="X90" s="11">
        <f t="shared" si="38"/>
        <v>0</v>
      </c>
      <c r="Y90" s="11">
        <f>IF(B90="",0,W90*INDEX(Personale!$G$6:$G$25,MATCH(B90,Personale!$A$6:$A$25,0)))</f>
        <v>0</v>
      </c>
      <c r="Z90" s="2" t="str">
        <f>IF(AND(A90&lt;&gt;"",Procedura!$B$10&lt;&gt;"Lavori",AC90=7,B90=Procedura!$B$28),"DEC DEVE ESSERE DIVERSO DAL RUP",IF(AND(ISNUMBER(D90),OR(OR(AND(Procedura!$B$10="Lavori",AC90=10),AND(Procedura!$B$10&lt;&gt;"Lavori",AC90=2)),IF(Procedura!$B$10="Lavori",OR(AC90=3,AC90=13),AC90=5)),ABS(E90-IF(IF(Procedura!$B$10="Lavori",OR(AC90=3,AC90=13),AC90=5),1,IF(Procedura!$B$29="No",1,IF(C90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FISSO",IF(AND(A90="",B90=""),"",IF(OR(A90="",B90="",C90=""),"COMPLETARE VOCE PERSONA RUOLO",IF(COUNTIFS($AA$6:$AA$105,AA90)&gt;1,"PERSONA RIPETUTA NELLA VOCE",IF(INDEX(Voci!$F$6:$F$24,MATCH(A90,Voci!$A$6:$A$24,0))&lt;&gt;"Interna","VOCE NON INTERNA",IF(OR(AND(C90="RUP",B90&lt;&gt;Procedura!$B$28),AND(C90="Responsabile fase",OR(Procedura!$B$29&lt;&gt;"Si",B90&lt;&gt;Procedura!$B$30)),AND(OR(OR(AND(Procedura!$B$10="Lavori",AC90=10),AND(Procedura!$B$10&lt;&gt;"Lavori",AC90=2)),IF(Procedura!$B$10="Lavori",OR(AC90=3,AC90=13),AC90=5)),NOT(OR(C90="RUP",AND(OR(AND(Procedura!$B$10="Lavori",AC90=10),AND(Procedura!$B$10&lt;&gt;"Lavori",AC90=2)),C90="Responsabile fase",Procedura!$B$29="Si")))),AND(IF(Procedura!$B$10="Lavori",OR(AC90=4,AC90=11,AC90=14),OR(AC90=3,AC90=6)),NOT(OR(C90="Supporto",C90="Altro",C90="Responsabile fase")))),"RUOLO NON COERENTE",IF(AND(IF(Procedura!$B$10="Lavori",OR(AC90=4,AC90=11,AC90=14),OR(AC90=3,AC90=6)),B90=Procedura!$B$28),"RUP E COLLABORAZIONE INCOMPATIBILI",IF(AND(AG90&gt;0,AG90&lt;&gt;AF90),"PESI MANUALI SOLO SU ALCUNE RIGHE",IF(AND(J90&gt;0,NOT(AND(Procedura!$B$10="Lavori",OR(AC90=5,AC90=6)))),"RITARDO PROGETTAZIONE NON PERTINENTE",IF(AND(M90&gt;0,M90&lt;5%),"CARENZE INFERIORI AL 5%",IF(AND(OR(J90&gt;0,K90&gt;0,L90&gt;0,M90&gt;0,I90="Si"),N90=""),"MOTIVARE ESCLUSIONE O RIDUZIONE",IF(AND(G90&gt;0,H90="Da verificare"),"ATTESTAZIONE DA ACQUISIRE",IF(AND(G90&gt;0,H90="Si",N90=""),"INDICARE ATTI ATTIVITA","COERENTE"))))))))))))))</f>
        <v/>
      </c>
      <c r="AA90" s="2" t="str">
        <f t="shared" si="39"/>
        <v/>
      </c>
      <c r="AB90" s="2" t="str">
        <f>IF(A90="","",INDEX(Voci!$C$6:$C$24,MATCH(A90,Voci!$A$6:$A$24,0)))</f>
        <v/>
      </c>
      <c r="AC90" s="2">
        <f>IF(A90="",0,INDEX(Voci!$B$6:$B$24,MATCH(A90,Voci!$A$6:$A$24,0)))</f>
        <v>0</v>
      </c>
      <c r="AD90" s="2">
        <f t="shared" si="40"/>
        <v>0</v>
      </c>
      <c r="AE90" s="2">
        <f t="shared" si="41"/>
        <v>0</v>
      </c>
      <c r="AF90" s="2">
        <f t="shared" si="42"/>
        <v>0</v>
      </c>
      <c r="AG90" s="2">
        <f t="shared" si="43"/>
        <v>0</v>
      </c>
      <c r="AH90">
        <f t="shared" si="44"/>
        <v>0</v>
      </c>
    </row>
    <row r="91" spans="1:34" ht="24" customHeight="1">
      <c r="A91" s="5"/>
      <c r="B91" s="5"/>
      <c r="C91" s="5"/>
      <c r="D91" s="8"/>
      <c r="E91" s="10">
        <f>IF(OR(A91="",B91=""),0,IF(ISNUMBER(D91),D91,IF(OR(AND(Procedura!$B$10="Lavori",AC91=10),AND(Procedura!$B$10&lt;&gt;"Lavori",AC91=2)),IF(Procedura!$B$29="Si",IF(C91="RUP",IF(Procedura!$B$10="Lavori",20%,IF(Voci!$M$7&gt;0,(Voci!$J$7*(1-Procedura!$B$39)+(Voci!$J$7*Procedura!$B$39-Voci!$L$7)*20%)/Voci!$M$7,0)),IF(C91="Responsabile fase",IF(Procedura!$B$10="Lavori",80%,IF(Voci!$M$7&gt;0,(Voci!$J$7*Procedura!$B$39-Voci!$L$7)*80%/Voci!$M$7,0)),0)),IF(C91="RUP",1,0)),IF(IF(Procedura!$B$10="Lavori",OR(AC91=3,AC91=13),AC91=5),IF(C91="RUP",1,0),IF(IF(Procedura!$B$10="Lavori",OR(AC91=4,AC91=11,AC91=14),OR(AC91=3,AC91=6)),IF(AND(AD91&gt;0,AE91&gt;0),IF(OR(C91="Supporto",C91="Responsabile fase"),60%/AD91,IF(C91="Altro",40%/AE91,0)),IF(AF91&gt;0,1/AF91,0)),IF(AF91&gt;0,1/AF91,0))))))</f>
        <v>0</v>
      </c>
      <c r="F91" s="11">
        <f>IF(A91="",0,INDEX(Voci!$M$6:$M$24,MATCH(A91,Voci!$A$6:$A$24,0))*E91)</f>
        <v>0</v>
      </c>
      <c r="G91" s="11">
        <f>IF(A91="",0,INDEX(Voci!$O$6:$O$24,MATCH(A91,Voci!$A$6:$A$24,0))*E91)</f>
        <v>0</v>
      </c>
      <c r="H91" s="5" t="s">
        <v>60</v>
      </c>
      <c r="I91" s="5" t="s">
        <v>67</v>
      </c>
      <c r="J91" s="8">
        <v>0</v>
      </c>
      <c r="K91" s="8">
        <v>0</v>
      </c>
      <c r="L91" s="8">
        <v>0</v>
      </c>
      <c r="M91" s="8">
        <v>0</v>
      </c>
      <c r="N91" s="5"/>
      <c r="O91" s="10">
        <f t="shared" si="30"/>
        <v>0</v>
      </c>
      <c r="P91" s="10">
        <f t="shared" si="31"/>
        <v>0</v>
      </c>
      <c r="Q91" s="10">
        <f t="shared" si="32"/>
        <v>0</v>
      </c>
      <c r="R91" s="10">
        <f t="shared" si="33"/>
        <v>0</v>
      </c>
      <c r="S91" s="11">
        <f t="shared" si="34"/>
        <v>0</v>
      </c>
      <c r="T91" s="11">
        <f t="shared" si="35"/>
        <v>0</v>
      </c>
      <c r="U91" s="11">
        <f t="shared" si="36"/>
        <v>0</v>
      </c>
      <c r="V91" s="10">
        <f>IF(B91="",0,INDEX(Personale!$F$6:$F$25,MATCH(B91,Personale!$A$6:$A$25,0)))</f>
        <v>0</v>
      </c>
      <c r="W91" s="11">
        <f t="shared" si="37"/>
        <v>0</v>
      </c>
      <c r="X91" s="11">
        <f t="shared" si="38"/>
        <v>0</v>
      </c>
      <c r="Y91" s="11">
        <f>IF(B91="",0,W91*INDEX(Personale!$G$6:$G$25,MATCH(B91,Personale!$A$6:$A$25,0)))</f>
        <v>0</v>
      </c>
      <c r="Z91" s="2" t="str">
        <f>IF(AND(A91&lt;&gt;"",Procedura!$B$10&lt;&gt;"Lavori",AC91=7,B91=Procedura!$B$28),"DEC DEVE ESSERE DIVERSO DAL RUP",IF(AND(ISNUMBER(D91),OR(OR(AND(Procedura!$B$10="Lavori",AC91=10),AND(Procedura!$B$10&lt;&gt;"Lavori",AC91=2)),IF(Procedura!$B$10="Lavori",OR(AC91=3,AC91=13),AC91=5)),ABS(E91-IF(IF(Procedura!$B$10="Lavori",OR(AC91=3,AC91=13),AC91=5),1,IF(Procedura!$B$29="No",1,IF(C91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FISSO",IF(AND(A91="",B91=""),"",IF(OR(A91="",B91="",C91=""),"COMPLETARE VOCE PERSONA RUOLO",IF(COUNTIFS($AA$6:$AA$105,AA91)&gt;1,"PERSONA RIPETUTA NELLA VOCE",IF(INDEX(Voci!$F$6:$F$24,MATCH(A91,Voci!$A$6:$A$24,0))&lt;&gt;"Interna","VOCE NON INTERNA",IF(OR(AND(C91="RUP",B91&lt;&gt;Procedura!$B$28),AND(C91="Responsabile fase",OR(Procedura!$B$29&lt;&gt;"Si",B91&lt;&gt;Procedura!$B$30)),AND(OR(OR(AND(Procedura!$B$10="Lavori",AC91=10),AND(Procedura!$B$10&lt;&gt;"Lavori",AC91=2)),IF(Procedura!$B$10="Lavori",OR(AC91=3,AC91=13),AC91=5)),NOT(OR(C91="RUP",AND(OR(AND(Procedura!$B$10="Lavori",AC91=10),AND(Procedura!$B$10&lt;&gt;"Lavori",AC91=2)),C91="Responsabile fase",Procedura!$B$29="Si")))),AND(IF(Procedura!$B$10="Lavori",OR(AC91=4,AC91=11,AC91=14),OR(AC91=3,AC91=6)),NOT(OR(C91="Supporto",C91="Altro",C91="Responsabile fase")))),"RUOLO NON COERENTE",IF(AND(IF(Procedura!$B$10="Lavori",OR(AC91=4,AC91=11,AC91=14),OR(AC91=3,AC91=6)),B91=Procedura!$B$28),"RUP E COLLABORAZIONE INCOMPATIBILI",IF(AND(AG91&gt;0,AG91&lt;&gt;AF91),"PESI MANUALI SOLO SU ALCUNE RIGHE",IF(AND(J91&gt;0,NOT(AND(Procedura!$B$10="Lavori",OR(AC91=5,AC91=6)))),"RITARDO PROGETTAZIONE NON PERTINENTE",IF(AND(M91&gt;0,M91&lt;5%),"CARENZE INFERIORI AL 5%",IF(AND(OR(J91&gt;0,K91&gt;0,L91&gt;0,M91&gt;0,I91="Si"),N91=""),"MOTIVARE ESCLUSIONE O RIDUZIONE",IF(AND(G91&gt;0,H91="Da verificare"),"ATTESTAZIONE DA ACQUISIRE",IF(AND(G91&gt;0,H91="Si",N91=""),"INDICARE ATTI ATTIVITA","COERENTE"))))))))))))))</f>
        <v/>
      </c>
      <c r="AA91" s="2" t="str">
        <f t="shared" si="39"/>
        <v/>
      </c>
      <c r="AB91" s="2" t="str">
        <f>IF(A91="","",INDEX(Voci!$C$6:$C$24,MATCH(A91,Voci!$A$6:$A$24,0)))</f>
        <v/>
      </c>
      <c r="AC91" s="2">
        <f>IF(A91="",0,INDEX(Voci!$B$6:$B$24,MATCH(A91,Voci!$A$6:$A$24,0)))</f>
        <v>0</v>
      </c>
      <c r="AD91" s="2">
        <f t="shared" si="40"/>
        <v>0</v>
      </c>
      <c r="AE91" s="2">
        <f t="shared" si="41"/>
        <v>0</v>
      </c>
      <c r="AF91" s="2">
        <f t="shared" si="42"/>
        <v>0</v>
      </c>
      <c r="AG91" s="2">
        <f t="shared" si="43"/>
        <v>0</v>
      </c>
      <c r="AH91">
        <f t="shared" si="44"/>
        <v>0</v>
      </c>
    </row>
    <row r="92" spans="1:34" ht="24" customHeight="1">
      <c r="A92" s="5"/>
      <c r="B92" s="5"/>
      <c r="C92" s="5"/>
      <c r="D92" s="8"/>
      <c r="E92" s="10">
        <f>IF(OR(A92="",B92=""),0,IF(ISNUMBER(D92),D92,IF(OR(AND(Procedura!$B$10="Lavori",AC92=10),AND(Procedura!$B$10&lt;&gt;"Lavori",AC92=2)),IF(Procedura!$B$29="Si",IF(C92="RUP",IF(Procedura!$B$10="Lavori",20%,IF(Voci!$M$7&gt;0,(Voci!$J$7*(1-Procedura!$B$39)+(Voci!$J$7*Procedura!$B$39-Voci!$L$7)*20%)/Voci!$M$7,0)),IF(C92="Responsabile fase",IF(Procedura!$B$10="Lavori",80%,IF(Voci!$M$7&gt;0,(Voci!$J$7*Procedura!$B$39-Voci!$L$7)*80%/Voci!$M$7,0)),0)),IF(C92="RUP",1,0)),IF(IF(Procedura!$B$10="Lavori",OR(AC92=3,AC92=13),AC92=5),IF(C92="RUP",1,0),IF(IF(Procedura!$B$10="Lavori",OR(AC92=4,AC92=11,AC92=14),OR(AC92=3,AC92=6)),IF(AND(AD92&gt;0,AE92&gt;0),IF(OR(C92="Supporto",C92="Responsabile fase"),60%/AD92,IF(C92="Altro",40%/AE92,0)),IF(AF92&gt;0,1/AF92,0)),IF(AF92&gt;0,1/AF92,0))))))</f>
        <v>0</v>
      </c>
      <c r="F92" s="11">
        <f>IF(A92="",0,INDEX(Voci!$M$6:$M$24,MATCH(A92,Voci!$A$6:$A$24,0))*E92)</f>
        <v>0</v>
      </c>
      <c r="G92" s="11">
        <f>IF(A92="",0,INDEX(Voci!$O$6:$O$24,MATCH(A92,Voci!$A$6:$A$24,0))*E92)</f>
        <v>0</v>
      </c>
      <c r="H92" s="5" t="s">
        <v>60</v>
      </c>
      <c r="I92" s="5" t="s">
        <v>67</v>
      </c>
      <c r="J92" s="8">
        <v>0</v>
      </c>
      <c r="K92" s="8">
        <v>0</v>
      </c>
      <c r="L92" s="8">
        <v>0</v>
      </c>
      <c r="M92" s="8">
        <v>0</v>
      </c>
      <c r="N92" s="5"/>
      <c r="O92" s="10">
        <f t="shared" si="30"/>
        <v>0</v>
      </c>
      <c r="P92" s="10">
        <f t="shared" si="31"/>
        <v>0</v>
      </c>
      <c r="Q92" s="10">
        <f t="shared" si="32"/>
        <v>0</v>
      </c>
      <c r="R92" s="10">
        <f t="shared" si="33"/>
        <v>0</v>
      </c>
      <c r="S92" s="11">
        <f t="shared" si="34"/>
        <v>0</v>
      </c>
      <c r="T92" s="11">
        <f t="shared" si="35"/>
        <v>0</v>
      </c>
      <c r="U92" s="11">
        <f t="shared" si="36"/>
        <v>0</v>
      </c>
      <c r="V92" s="10">
        <f>IF(B92="",0,INDEX(Personale!$F$6:$F$25,MATCH(B92,Personale!$A$6:$A$25,0)))</f>
        <v>0</v>
      </c>
      <c r="W92" s="11">
        <f t="shared" si="37"/>
        <v>0</v>
      </c>
      <c r="X92" s="11">
        <f t="shared" si="38"/>
        <v>0</v>
      </c>
      <c r="Y92" s="11">
        <f>IF(B92="",0,W92*INDEX(Personale!$G$6:$G$25,MATCH(B92,Personale!$A$6:$A$25,0)))</f>
        <v>0</v>
      </c>
      <c r="Z92" s="2" t="str">
        <f>IF(AND(A92&lt;&gt;"",Procedura!$B$10&lt;&gt;"Lavori",AC92=7,B92=Procedura!$B$28),"DEC DEVE ESSERE DIVERSO DAL RUP",IF(AND(ISNUMBER(D92),OR(OR(AND(Procedura!$B$10="Lavori",AC92=10),AND(Procedura!$B$10&lt;&gt;"Lavori",AC92=2)),IF(Procedura!$B$10="Lavori",OR(AC92=3,AC92=13),AC92=5)),ABS(E92-IF(IF(Procedura!$B$10="Lavori",OR(AC92=3,AC92=13),AC92=5),1,IF(Procedura!$B$29="No",1,IF(C92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FISSO",IF(AND(A92="",B92=""),"",IF(OR(A92="",B92="",C92=""),"COMPLETARE VOCE PERSONA RUOLO",IF(COUNTIFS($AA$6:$AA$105,AA92)&gt;1,"PERSONA RIPETUTA NELLA VOCE",IF(INDEX(Voci!$F$6:$F$24,MATCH(A92,Voci!$A$6:$A$24,0))&lt;&gt;"Interna","VOCE NON INTERNA",IF(OR(AND(C92="RUP",B92&lt;&gt;Procedura!$B$28),AND(C92="Responsabile fase",OR(Procedura!$B$29&lt;&gt;"Si",B92&lt;&gt;Procedura!$B$30)),AND(OR(OR(AND(Procedura!$B$10="Lavori",AC92=10),AND(Procedura!$B$10&lt;&gt;"Lavori",AC92=2)),IF(Procedura!$B$10="Lavori",OR(AC92=3,AC92=13),AC92=5)),NOT(OR(C92="RUP",AND(OR(AND(Procedura!$B$10="Lavori",AC92=10),AND(Procedura!$B$10&lt;&gt;"Lavori",AC92=2)),C92="Responsabile fase",Procedura!$B$29="Si")))),AND(IF(Procedura!$B$10="Lavori",OR(AC92=4,AC92=11,AC92=14),OR(AC92=3,AC92=6)),NOT(OR(C92="Supporto",C92="Altro",C92="Responsabile fase")))),"RUOLO NON COERENTE",IF(AND(IF(Procedura!$B$10="Lavori",OR(AC92=4,AC92=11,AC92=14),OR(AC92=3,AC92=6)),B92=Procedura!$B$28),"RUP E COLLABORAZIONE INCOMPATIBILI",IF(AND(AG92&gt;0,AG92&lt;&gt;AF92),"PESI MANUALI SOLO SU ALCUNE RIGHE",IF(AND(J92&gt;0,NOT(AND(Procedura!$B$10="Lavori",OR(AC92=5,AC92=6)))),"RITARDO PROGETTAZIONE NON PERTINENTE",IF(AND(M92&gt;0,M92&lt;5%),"CARENZE INFERIORI AL 5%",IF(AND(OR(J92&gt;0,K92&gt;0,L92&gt;0,M92&gt;0,I92="Si"),N92=""),"MOTIVARE ESCLUSIONE O RIDUZIONE",IF(AND(G92&gt;0,H92="Da verificare"),"ATTESTAZIONE DA ACQUISIRE",IF(AND(G92&gt;0,H92="Si",N92=""),"INDICARE ATTI ATTIVITA","COERENTE"))))))))))))))</f>
        <v/>
      </c>
      <c r="AA92" s="2" t="str">
        <f t="shared" si="39"/>
        <v/>
      </c>
      <c r="AB92" s="2" t="str">
        <f>IF(A92="","",INDEX(Voci!$C$6:$C$24,MATCH(A92,Voci!$A$6:$A$24,0)))</f>
        <v/>
      </c>
      <c r="AC92" s="2">
        <f>IF(A92="",0,INDEX(Voci!$B$6:$B$24,MATCH(A92,Voci!$A$6:$A$24,0)))</f>
        <v>0</v>
      </c>
      <c r="AD92" s="2">
        <f t="shared" si="40"/>
        <v>0</v>
      </c>
      <c r="AE92" s="2">
        <f t="shared" si="41"/>
        <v>0</v>
      </c>
      <c r="AF92" s="2">
        <f t="shared" si="42"/>
        <v>0</v>
      </c>
      <c r="AG92" s="2">
        <f t="shared" si="43"/>
        <v>0</v>
      </c>
      <c r="AH92">
        <f t="shared" si="44"/>
        <v>0</v>
      </c>
    </row>
    <row r="93" spans="1:34" ht="24" customHeight="1">
      <c r="A93" s="5"/>
      <c r="B93" s="5"/>
      <c r="C93" s="5"/>
      <c r="D93" s="8"/>
      <c r="E93" s="10">
        <f>IF(OR(A93="",B93=""),0,IF(ISNUMBER(D93),D93,IF(OR(AND(Procedura!$B$10="Lavori",AC93=10),AND(Procedura!$B$10&lt;&gt;"Lavori",AC93=2)),IF(Procedura!$B$29="Si",IF(C93="RUP",IF(Procedura!$B$10="Lavori",20%,IF(Voci!$M$7&gt;0,(Voci!$J$7*(1-Procedura!$B$39)+(Voci!$J$7*Procedura!$B$39-Voci!$L$7)*20%)/Voci!$M$7,0)),IF(C93="Responsabile fase",IF(Procedura!$B$10="Lavori",80%,IF(Voci!$M$7&gt;0,(Voci!$J$7*Procedura!$B$39-Voci!$L$7)*80%/Voci!$M$7,0)),0)),IF(C93="RUP",1,0)),IF(IF(Procedura!$B$10="Lavori",OR(AC93=3,AC93=13),AC93=5),IF(C93="RUP",1,0),IF(IF(Procedura!$B$10="Lavori",OR(AC93=4,AC93=11,AC93=14),OR(AC93=3,AC93=6)),IF(AND(AD93&gt;0,AE93&gt;0),IF(OR(C93="Supporto",C93="Responsabile fase"),60%/AD93,IF(C93="Altro",40%/AE93,0)),IF(AF93&gt;0,1/AF93,0)),IF(AF93&gt;0,1/AF93,0))))))</f>
        <v>0</v>
      </c>
      <c r="F93" s="11">
        <f>IF(A93="",0,INDEX(Voci!$M$6:$M$24,MATCH(A93,Voci!$A$6:$A$24,0))*E93)</f>
        <v>0</v>
      </c>
      <c r="G93" s="11">
        <f>IF(A93="",0,INDEX(Voci!$O$6:$O$24,MATCH(A93,Voci!$A$6:$A$24,0))*E93)</f>
        <v>0</v>
      </c>
      <c r="H93" s="5" t="s">
        <v>60</v>
      </c>
      <c r="I93" s="5" t="s">
        <v>67</v>
      </c>
      <c r="J93" s="8">
        <v>0</v>
      </c>
      <c r="K93" s="8">
        <v>0</v>
      </c>
      <c r="L93" s="8">
        <v>0</v>
      </c>
      <c r="M93" s="8">
        <v>0</v>
      </c>
      <c r="N93" s="5"/>
      <c r="O93" s="10">
        <f t="shared" si="30"/>
        <v>0</v>
      </c>
      <c r="P93" s="10">
        <f t="shared" si="31"/>
        <v>0</v>
      </c>
      <c r="Q93" s="10">
        <f t="shared" si="32"/>
        <v>0</v>
      </c>
      <c r="R93" s="10">
        <f t="shared" si="33"/>
        <v>0</v>
      </c>
      <c r="S93" s="11">
        <f t="shared" si="34"/>
        <v>0</v>
      </c>
      <c r="T93" s="11">
        <f t="shared" si="35"/>
        <v>0</v>
      </c>
      <c r="U93" s="11">
        <f t="shared" si="36"/>
        <v>0</v>
      </c>
      <c r="V93" s="10">
        <f>IF(B93="",0,INDEX(Personale!$F$6:$F$25,MATCH(B93,Personale!$A$6:$A$25,0)))</f>
        <v>0</v>
      </c>
      <c r="W93" s="11">
        <f t="shared" si="37"/>
        <v>0</v>
      </c>
      <c r="X93" s="11">
        <f t="shared" si="38"/>
        <v>0</v>
      </c>
      <c r="Y93" s="11">
        <f>IF(B93="",0,W93*INDEX(Personale!$G$6:$G$25,MATCH(B93,Personale!$A$6:$A$25,0)))</f>
        <v>0</v>
      </c>
      <c r="Z93" s="2" t="str">
        <f>IF(AND(A93&lt;&gt;"",Procedura!$B$10&lt;&gt;"Lavori",AC93=7,B93=Procedura!$B$28),"DEC DEVE ESSERE DIVERSO DAL RUP",IF(AND(ISNUMBER(D93),OR(OR(AND(Procedura!$B$10="Lavori",AC93=10),AND(Procedura!$B$10&lt;&gt;"Lavori",AC93=2)),IF(Procedura!$B$10="Lavori",OR(AC93=3,AC93=13),AC93=5)),ABS(E93-IF(IF(Procedura!$B$10="Lavori",OR(AC93=3,AC93=13),AC93=5),1,IF(Procedura!$B$29="No",1,IF(C93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FISSO",IF(AND(A93="",B93=""),"",IF(OR(A93="",B93="",C93=""),"COMPLETARE VOCE PERSONA RUOLO",IF(COUNTIFS($AA$6:$AA$105,AA93)&gt;1,"PERSONA RIPETUTA NELLA VOCE",IF(INDEX(Voci!$F$6:$F$24,MATCH(A93,Voci!$A$6:$A$24,0))&lt;&gt;"Interna","VOCE NON INTERNA",IF(OR(AND(C93="RUP",B93&lt;&gt;Procedura!$B$28),AND(C93="Responsabile fase",OR(Procedura!$B$29&lt;&gt;"Si",B93&lt;&gt;Procedura!$B$30)),AND(OR(OR(AND(Procedura!$B$10="Lavori",AC93=10),AND(Procedura!$B$10&lt;&gt;"Lavori",AC93=2)),IF(Procedura!$B$10="Lavori",OR(AC93=3,AC93=13),AC93=5)),NOT(OR(C93="RUP",AND(OR(AND(Procedura!$B$10="Lavori",AC93=10),AND(Procedura!$B$10&lt;&gt;"Lavori",AC93=2)),C93="Responsabile fase",Procedura!$B$29="Si")))),AND(IF(Procedura!$B$10="Lavori",OR(AC93=4,AC93=11,AC93=14),OR(AC93=3,AC93=6)),NOT(OR(C93="Supporto",C93="Altro",C93="Responsabile fase")))),"RUOLO NON COERENTE",IF(AND(IF(Procedura!$B$10="Lavori",OR(AC93=4,AC93=11,AC93=14),OR(AC93=3,AC93=6)),B93=Procedura!$B$28),"RUP E COLLABORAZIONE INCOMPATIBILI",IF(AND(AG93&gt;0,AG93&lt;&gt;AF93),"PESI MANUALI SOLO SU ALCUNE RIGHE",IF(AND(J93&gt;0,NOT(AND(Procedura!$B$10="Lavori",OR(AC93=5,AC93=6)))),"RITARDO PROGETTAZIONE NON PERTINENTE",IF(AND(M93&gt;0,M93&lt;5%),"CARENZE INFERIORI AL 5%",IF(AND(OR(J93&gt;0,K93&gt;0,L93&gt;0,M93&gt;0,I93="Si"),N93=""),"MOTIVARE ESCLUSIONE O RIDUZIONE",IF(AND(G93&gt;0,H93="Da verificare"),"ATTESTAZIONE DA ACQUISIRE",IF(AND(G93&gt;0,H93="Si",N93=""),"INDICARE ATTI ATTIVITA","COERENTE"))))))))))))))</f>
        <v/>
      </c>
      <c r="AA93" s="2" t="str">
        <f t="shared" si="39"/>
        <v/>
      </c>
      <c r="AB93" s="2" t="str">
        <f>IF(A93="","",INDEX(Voci!$C$6:$C$24,MATCH(A93,Voci!$A$6:$A$24,0)))</f>
        <v/>
      </c>
      <c r="AC93" s="2">
        <f>IF(A93="",0,INDEX(Voci!$B$6:$B$24,MATCH(A93,Voci!$A$6:$A$24,0)))</f>
        <v>0</v>
      </c>
      <c r="AD93" s="2">
        <f t="shared" si="40"/>
        <v>0</v>
      </c>
      <c r="AE93" s="2">
        <f t="shared" si="41"/>
        <v>0</v>
      </c>
      <c r="AF93" s="2">
        <f t="shared" si="42"/>
        <v>0</v>
      </c>
      <c r="AG93" s="2">
        <f t="shared" si="43"/>
        <v>0</v>
      </c>
      <c r="AH93">
        <f t="shared" si="44"/>
        <v>0</v>
      </c>
    </row>
    <row r="94" spans="1:34" ht="24" customHeight="1">
      <c r="A94" s="5"/>
      <c r="B94" s="5"/>
      <c r="C94" s="5"/>
      <c r="D94" s="8"/>
      <c r="E94" s="10">
        <f>IF(OR(A94="",B94=""),0,IF(ISNUMBER(D94),D94,IF(OR(AND(Procedura!$B$10="Lavori",AC94=10),AND(Procedura!$B$10&lt;&gt;"Lavori",AC94=2)),IF(Procedura!$B$29="Si",IF(C94="RUP",IF(Procedura!$B$10="Lavori",20%,IF(Voci!$M$7&gt;0,(Voci!$J$7*(1-Procedura!$B$39)+(Voci!$J$7*Procedura!$B$39-Voci!$L$7)*20%)/Voci!$M$7,0)),IF(C94="Responsabile fase",IF(Procedura!$B$10="Lavori",80%,IF(Voci!$M$7&gt;0,(Voci!$J$7*Procedura!$B$39-Voci!$L$7)*80%/Voci!$M$7,0)),0)),IF(C94="RUP",1,0)),IF(IF(Procedura!$B$10="Lavori",OR(AC94=3,AC94=13),AC94=5),IF(C94="RUP",1,0),IF(IF(Procedura!$B$10="Lavori",OR(AC94=4,AC94=11,AC94=14),OR(AC94=3,AC94=6)),IF(AND(AD94&gt;0,AE94&gt;0),IF(OR(C94="Supporto",C94="Responsabile fase"),60%/AD94,IF(C94="Altro",40%/AE94,0)),IF(AF94&gt;0,1/AF94,0)),IF(AF94&gt;0,1/AF94,0))))))</f>
        <v>0</v>
      </c>
      <c r="F94" s="11">
        <f>IF(A94="",0,INDEX(Voci!$M$6:$M$24,MATCH(A94,Voci!$A$6:$A$24,0))*E94)</f>
        <v>0</v>
      </c>
      <c r="G94" s="11">
        <f>IF(A94="",0,INDEX(Voci!$O$6:$O$24,MATCH(A94,Voci!$A$6:$A$24,0))*E94)</f>
        <v>0</v>
      </c>
      <c r="H94" s="5" t="s">
        <v>60</v>
      </c>
      <c r="I94" s="5" t="s">
        <v>67</v>
      </c>
      <c r="J94" s="8">
        <v>0</v>
      </c>
      <c r="K94" s="8">
        <v>0</v>
      </c>
      <c r="L94" s="8">
        <v>0</v>
      </c>
      <c r="M94" s="8">
        <v>0</v>
      </c>
      <c r="N94" s="5"/>
      <c r="O94" s="10">
        <f t="shared" si="30"/>
        <v>0</v>
      </c>
      <c r="P94" s="10">
        <f t="shared" si="31"/>
        <v>0</v>
      </c>
      <c r="Q94" s="10">
        <f t="shared" si="32"/>
        <v>0</v>
      </c>
      <c r="R94" s="10">
        <f t="shared" si="33"/>
        <v>0</v>
      </c>
      <c r="S94" s="11">
        <f t="shared" si="34"/>
        <v>0</v>
      </c>
      <c r="T94" s="11">
        <f t="shared" si="35"/>
        <v>0</v>
      </c>
      <c r="U94" s="11">
        <f t="shared" si="36"/>
        <v>0</v>
      </c>
      <c r="V94" s="10">
        <f>IF(B94="",0,INDEX(Personale!$F$6:$F$25,MATCH(B94,Personale!$A$6:$A$25,0)))</f>
        <v>0</v>
      </c>
      <c r="W94" s="11">
        <f t="shared" si="37"/>
        <v>0</v>
      </c>
      <c r="X94" s="11">
        <f t="shared" si="38"/>
        <v>0</v>
      </c>
      <c r="Y94" s="11">
        <f>IF(B94="",0,W94*INDEX(Personale!$G$6:$G$25,MATCH(B94,Personale!$A$6:$A$25,0)))</f>
        <v>0</v>
      </c>
      <c r="Z94" s="2" t="str">
        <f>IF(AND(A94&lt;&gt;"",Procedura!$B$10&lt;&gt;"Lavori",AC94=7,B94=Procedura!$B$28),"DEC DEVE ESSERE DIVERSO DAL RUP",IF(AND(ISNUMBER(D94),OR(OR(AND(Procedura!$B$10="Lavori",AC94=10),AND(Procedura!$B$10&lt;&gt;"Lavori",AC94=2)),IF(Procedura!$B$10="Lavori",OR(AC94=3,AC94=13),AC94=5)),ABS(E94-IF(IF(Procedura!$B$10="Lavori",OR(AC94=3,AC94=13),AC94=5),1,IF(Procedura!$B$29="No",1,IF(C94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FISSO",IF(AND(A94="",B94=""),"",IF(OR(A94="",B94="",C94=""),"COMPLETARE VOCE PERSONA RUOLO",IF(COUNTIFS($AA$6:$AA$105,AA94)&gt;1,"PERSONA RIPETUTA NELLA VOCE",IF(INDEX(Voci!$F$6:$F$24,MATCH(A94,Voci!$A$6:$A$24,0))&lt;&gt;"Interna","VOCE NON INTERNA",IF(OR(AND(C94="RUP",B94&lt;&gt;Procedura!$B$28),AND(C94="Responsabile fase",OR(Procedura!$B$29&lt;&gt;"Si",B94&lt;&gt;Procedura!$B$30)),AND(OR(OR(AND(Procedura!$B$10="Lavori",AC94=10),AND(Procedura!$B$10&lt;&gt;"Lavori",AC94=2)),IF(Procedura!$B$10="Lavori",OR(AC94=3,AC94=13),AC94=5)),NOT(OR(C94="RUP",AND(OR(AND(Procedura!$B$10="Lavori",AC94=10),AND(Procedura!$B$10&lt;&gt;"Lavori",AC94=2)),C94="Responsabile fase",Procedura!$B$29="Si")))),AND(IF(Procedura!$B$10="Lavori",OR(AC94=4,AC94=11,AC94=14),OR(AC94=3,AC94=6)),NOT(OR(C94="Supporto",C94="Altro",C94="Responsabile fase")))),"RUOLO NON COERENTE",IF(AND(IF(Procedura!$B$10="Lavori",OR(AC94=4,AC94=11,AC94=14),OR(AC94=3,AC94=6)),B94=Procedura!$B$28),"RUP E COLLABORAZIONE INCOMPATIBILI",IF(AND(AG94&gt;0,AG94&lt;&gt;AF94),"PESI MANUALI SOLO SU ALCUNE RIGHE",IF(AND(J94&gt;0,NOT(AND(Procedura!$B$10="Lavori",OR(AC94=5,AC94=6)))),"RITARDO PROGETTAZIONE NON PERTINENTE",IF(AND(M94&gt;0,M94&lt;5%),"CARENZE INFERIORI AL 5%",IF(AND(OR(J94&gt;0,K94&gt;0,L94&gt;0,M94&gt;0,I94="Si"),N94=""),"MOTIVARE ESCLUSIONE O RIDUZIONE",IF(AND(G94&gt;0,H94="Da verificare"),"ATTESTAZIONE DA ACQUISIRE",IF(AND(G94&gt;0,H94="Si",N94=""),"INDICARE ATTI ATTIVITA","COERENTE"))))))))))))))</f>
        <v/>
      </c>
      <c r="AA94" s="2" t="str">
        <f t="shared" si="39"/>
        <v/>
      </c>
      <c r="AB94" s="2" t="str">
        <f>IF(A94="","",INDEX(Voci!$C$6:$C$24,MATCH(A94,Voci!$A$6:$A$24,0)))</f>
        <v/>
      </c>
      <c r="AC94" s="2">
        <f>IF(A94="",0,INDEX(Voci!$B$6:$B$24,MATCH(A94,Voci!$A$6:$A$24,0)))</f>
        <v>0</v>
      </c>
      <c r="AD94" s="2">
        <f t="shared" si="40"/>
        <v>0</v>
      </c>
      <c r="AE94" s="2">
        <f t="shared" si="41"/>
        <v>0</v>
      </c>
      <c r="AF94" s="2">
        <f t="shared" si="42"/>
        <v>0</v>
      </c>
      <c r="AG94" s="2">
        <f t="shared" si="43"/>
        <v>0</v>
      </c>
      <c r="AH94">
        <f t="shared" si="44"/>
        <v>0</v>
      </c>
    </row>
    <row r="95" spans="1:34" ht="24" customHeight="1">
      <c r="A95" s="5"/>
      <c r="B95" s="5"/>
      <c r="C95" s="5"/>
      <c r="D95" s="8"/>
      <c r="E95" s="10">
        <f>IF(OR(A95="",B95=""),0,IF(ISNUMBER(D95),D95,IF(OR(AND(Procedura!$B$10="Lavori",AC95=10),AND(Procedura!$B$10&lt;&gt;"Lavori",AC95=2)),IF(Procedura!$B$29="Si",IF(C95="RUP",IF(Procedura!$B$10="Lavori",20%,IF(Voci!$M$7&gt;0,(Voci!$J$7*(1-Procedura!$B$39)+(Voci!$J$7*Procedura!$B$39-Voci!$L$7)*20%)/Voci!$M$7,0)),IF(C95="Responsabile fase",IF(Procedura!$B$10="Lavori",80%,IF(Voci!$M$7&gt;0,(Voci!$J$7*Procedura!$B$39-Voci!$L$7)*80%/Voci!$M$7,0)),0)),IF(C95="RUP",1,0)),IF(IF(Procedura!$B$10="Lavori",OR(AC95=3,AC95=13),AC95=5),IF(C95="RUP",1,0),IF(IF(Procedura!$B$10="Lavori",OR(AC95=4,AC95=11,AC95=14),OR(AC95=3,AC95=6)),IF(AND(AD95&gt;0,AE95&gt;0),IF(OR(C95="Supporto",C95="Responsabile fase"),60%/AD95,IF(C95="Altro",40%/AE95,0)),IF(AF95&gt;0,1/AF95,0)),IF(AF95&gt;0,1/AF95,0))))))</f>
        <v>0</v>
      </c>
      <c r="F95" s="11">
        <f>IF(A95="",0,INDEX(Voci!$M$6:$M$24,MATCH(A95,Voci!$A$6:$A$24,0))*E95)</f>
        <v>0</v>
      </c>
      <c r="G95" s="11">
        <f>IF(A95="",0,INDEX(Voci!$O$6:$O$24,MATCH(A95,Voci!$A$6:$A$24,0))*E95)</f>
        <v>0</v>
      </c>
      <c r="H95" s="5" t="s">
        <v>60</v>
      </c>
      <c r="I95" s="5" t="s">
        <v>67</v>
      </c>
      <c r="J95" s="8">
        <v>0</v>
      </c>
      <c r="K95" s="8">
        <v>0</v>
      </c>
      <c r="L95" s="8">
        <v>0</v>
      </c>
      <c r="M95" s="8">
        <v>0</v>
      </c>
      <c r="N95" s="5"/>
      <c r="O95" s="10">
        <f t="shared" si="30"/>
        <v>0</v>
      </c>
      <c r="P95" s="10">
        <f t="shared" si="31"/>
        <v>0</v>
      </c>
      <c r="Q95" s="10">
        <f t="shared" si="32"/>
        <v>0</v>
      </c>
      <c r="R95" s="10">
        <f t="shared" si="33"/>
        <v>0</v>
      </c>
      <c r="S95" s="11">
        <f t="shared" si="34"/>
        <v>0</v>
      </c>
      <c r="T95" s="11">
        <f t="shared" si="35"/>
        <v>0</v>
      </c>
      <c r="U95" s="11">
        <f t="shared" si="36"/>
        <v>0</v>
      </c>
      <c r="V95" s="10">
        <f>IF(B95="",0,INDEX(Personale!$F$6:$F$25,MATCH(B95,Personale!$A$6:$A$25,0)))</f>
        <v>0</v>
      </c>
      <c r="W95" s="11">
        <f t="shared" si="37"/>
        <v>0</v>
      </c>
      <c r="X95" s="11">
        <f t="shared" si="38"/>
        <v>0</v>
      </c>
      <c r="Y95" s="11">
        <f>IF(B95="",0,W95*INDEX(Personale!$G$6:$G$25,MATCH(B95,Personale!$A$6:$A$25,0)))</f>
        <v>0</v>
      </c>
      <c r="Z95" s="2" t="str">
        <f>IF(AND(A95&lt;&gt;"",Procedura!$B$10&lt;&gt;"Lavori",AC95=7,B95=Procedura!$B$28),"DEC DEVE ESSERE DIVERSO DAL RUP",IF(AND(ISNUMBER(D95),OR(OR(AND(Procedura!$B$10="Lavori",AC95=10),AND(Procedura!$B$10&lt;&gt;"Lavori",AC95=2)),IF(Procedura!$B$10="Lavori",OR(AC95=3,AC95=13),AC95=5)),ABS(E95-IF(IF(Procedura!$B$10="Lavori",OR(AC95=3,AC95=13),AC95=5),1,IF(Procedura!$B$29="No",1,IF(C95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FISSO",IF(AND(A95="",B95=""),"",IF(OR(A95="",B95="",C95=""),"COMPLETARE VOCE PERSONA RUOLO",IF(COUNTIFS($AA$6:$AA$105,AA95)&gt;1,"PERSONA RIPETUTA NELLA VOCE",IF(INDEX(Voci!$F$6:$F$24,MATCH(A95,Voci!$A$6:$A$24,0))&lt;&gt;"Interna","VOCE NON INTERNA",IF(OR(AND(C95="RUP",B95&lt;&gt;Procedura!$B$28),AND(C95="Responsabile fase",OR(Procedura!$B$29&lt;&gt;"Si",B95&lt;&gt;Procedura!$B$30)),AND(OR(OR(AND(Procedura!$B$10="Lavori",AC95=10),AND(Procedura!$B$10&lt;&gt;"Lavori",AC95=2)),IF(Procedura!$B$10="Lavori",OR(AC95=3,AC95=13),AC95=5)),NOT(OR(C95="RUP",AND(OR(AND(Procedura!$B$10="Lavori",AC95=10),AND(Procedura!$B$10&lt;&gt;"Lavori",AC95=2)),C95="Responsabile fase",Procedura!$B$29="Si")))),AND(IF(Procedura!$B$10="Lavori",OR(AC95=4,AC95=11,AC95=14),OR(AC95=3,AC95=6)),NOT(OR(C95="Supporto",C95="Altro",C95="Responsabile fase")))),"RUOLO NON COERENTE",IF(AND(IF(Procedura!$B$10="Lavori",OR(AC95=4,AC95=11,AC95=14),OR(AC95=3,AC95=6)),B95=Procedura!$B$28),"RUP E COLLABORAZIONE INCOMPATIBILI",IF(AND(AG95&gt;0,AG95&lt;&gt;AF95),"PESI MANUALI SOLO SU ALCUNE RIGHE",IF(AND(J95&gt;0,NOT(AND(Procedura!$B$10="Lavori",OR(AC95=5,AC95=6)))),"RITARDO PROGETTAZIONE NON PERTINENTE",IF(AND(M95&gt;0,M95&lt;5%),"CARENZE INFERIORI AL 5%",IF(AND(OR(J95&gt;0,K95&gt;0,L95&gt;0,M95&gt;0,I95="Si"),N95=""),"MOTIVARE ESCLUSIONE O RIDUZIONE",IF(AND(G95&gt;0,H95="Da verificare"),"ATTESTAZIONE DA ACQUISIRE",IF(AND(G95&gt;0,H95="Si",N95=""),"INDICARE ATTI ATTIVITA","COERENTE"))))))))))))))</f>
        <v/>
      </c>
      <c r="AA95" s="2" t="str">
        <f t="shared" si="39"/>
        <v/>
      </c>
      <c r="AB95" s="2" t="str">
        <f>IF(A95="","",INDEX(Voci!$C$6:$C$24,MATCH(A95,Voci!$A$6:$A$24,0)))</f>
        <v/>
      </c>
      <c r="AC95" s="2">
        <f>IF(A95="",0,INDEX(Voci!$B$6:$B$24,MATCH(A95,Voci!$A$6:$A$24,0)))</f>
        <v>0</v>
      </c>
      <c r="AD95" s="2">
        <f t="shared" si="40"/>
        <v>0</v>
      </c>
      <c r="AE95" s="2">
        <f t="shared" si="41"/>
        <v>0</v>
      </c>
      <c r="AF95" s="2">
        <f t="shared" si="42"/>
        <v>0</v>
      </c>
      <c r="AG95" s="2">
        <f t="shared" si="43"/>
        <v>0</v>
      </c>
      <c r="AH95">
        <f t="shared" si="44"/>
        <v>0</v>
      </c>
    </row>
    <row r="96" spans="1:34" ht="24" customHeight="1">
      <c r="A96" s="5"/>
      <c r="B96" s="5"/>
      <c r="C96" s="5"/>
      <c r="D96" s="8"/>
      <c r="E96" s="10">
        <f>IF(OR(A96="",B96=""),0,IF(ISNUMBER(D96),D96,IF(OR(AND(Procedura!$B$10="Lavori",AC96=10),AND(Procedura!$B$10&lt;&gt;"Lavori",AC96=2)),IF(Procedura!$B$29="Si",IF(C96="RUP",IF(Procedura!$B$10="Lavori",20%,IF(Voci!$M$7&gt;0,(Voci!$J$7*(1-Procedura!$B$39)+(Voci!$J$7*Procedura!$B$39-Voci!$L$7)*20%)/Voci!$M$7,0)),IF(C96="Responsabile fase",IF(Procedura!$B$10="Lavori",80%,IF(Voci!$M$7&gt;0,(Voci!$J$7*Procedura!$B$39-Voci!$L$7)*80%/Voci!$M$7,0)),0)),IF(C96="RUP",1,0)),IF(IF(Procedura!$B$10="Lavori",OR(AC96=3,AC96=13),AC96=5),IF(C96="RUP",1,0),IF(IF(Procedura!$B$10="Lavori",OR(AC96=4,AC96=11,AC96=14),OR(AC96=3,AC96=6)),IF(AND(AD96&gt;0,AE96&gt;0),IF(OR(C96="Supporto",C96="Responsabile fase"),60%/AD96,IF(C96="Altro",40%/AE96,0)),IF(AF96&gt;0,1/AF96,0)),IF(AF96&gt;0,1/AF96,0))))))</f>
        <v>0</v>
      </c>
      <c r="F96" s="11">
        <f>IF(A96="",0,INDEX(Voci!$M$6:$M$24,MATCH(A96,Voci!$A$6:$A$24,0))*E96)</f>
        <v>0</v>
      </c>
      <c r="G96" s="11">
        <f>IF(A96="",0,INDEX(Voci!$O$6:$O$24,MATCH(A96,Voci!$A$6:$A$24,0))*E96)</f>
        <v>0</v>
      </c>
      <c r="H96" s="5" t="s">
        <v>60</v>
      </c>
      <c r="I96" s="5" t="s">
        <v>67</v>
      </c>
      <c r="J96" s="8">
        <v>0</v>
      </c>
      <c r="K96" s="8">
        <v>0</v>
      </c>
      <c r="L96" s="8">
        <v>0</v>
      </c>
      <c r="M96" s="8">
        <v>0</v>
      </c>
      <c r="N96" s="5"/>
      <c r="O96" s="10">
        <f t="shared" si="30"/>
        <v>0</v>
      </c>
      <c r="P96" s="10">
        <f t="shared" si="31"/>
        <v>0</v>
      </c>
      <c r="Q96" s="10">
        <f t="shared" si="32"/>
        <v>0</v>
      </c>
      <c r="R96" s="10">
        <f t="shared" si="33"/>
        <v>0</v>
      </c>
      <c r="S96" s="11">
        <f t="shared" si="34"/>
        <v>0</v>
      </c>
      <c r="T96" s="11">
        <f t="shared" si="35"/>
        <v>0</v>
      </c>
      <c r="U96" s="11">
        <f t="shared" si="36"/>
        <v>0</v>
      </c>
      <c r="V96" s="10">
        <f>IF(B96="",0,INDEX(Personale!$F$6:$F$25,MATCH(B96,Personale!$A$6:$A$25,0)))</f>
        <v>0</v>
      </c>
      <c r="W96" s="11">
        <f t="shared" si="37"/>
        <v>0</v>
      </c>
      <c r="X96" s="11">
        <f t="shared" si="38"/>
        <v>0</v>
      </c>
      <c r="Y96" s="11">
        <f>IF(B96="",0,W96*INDEX(Personale!$G$6:$G$25,MATCH(B96,Personale!$A$6:$A$25,0)))</f>
        <v>0</v>
      </c>
      <c r="Z96" s="2" t="str">
        <f>IF(AND(A96&lt;&gt;"",Procedura!$B$10&lt;&gt;"Lavori",AC96=7,B96=Procedura!$B$28),"DEC DEVE ESSERE DIVERSO DAL RUP",IF(AND(ISNUMBER(D96),OR(OR(AND(Procedura!$B$10="Lavori",AC96=10),AND(Procedura!$B$10&lt;&gt;"Lavori",AC96=2)),IF(Procedura!$B$10="Lavori",OR(AC96=3,AC96=13),AC96=5)),ABS(E96-IF(IF(Procedura!$B$10="Lavori",OR(AC96=3,AC96=13),AC96=5),1,IF(Procedura!$B$29="No",1,IF(C96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FISSO",IF(AND(A96="",B96=""),"",IF(OR(A96="",B96="",C96=""),"COMPLETARE VOCE PERSONA RUOLO",IF(COUNTIFS($AA$6:$AA$105,AA96)&gt;1,"PERSONA RIPETUTA NELLA VOCE",IF(INDEX(Voci!$F$6:$F$24,MATCH(A96,Voci!$A$6:$A$24,0))&lt;&gt;"Interna","VOCE NON INTERNA",IF(OR(AND(C96="RUP",B96&lt;&gt;Procedura!$B$28),AND(C96="Responsabile fase",OR(Procedura!$B$29&lt;&gt;"Si",B96&lt;&gt;Procedura!$B$30)),AND(OR(OR(AND(Procedura!$B$10="Lavori",AC96=10),AND(Procedura!$B$10&lt;&gt;"Lavori",AC96=2)),IF(Procedura!$B$10="Lavori",OR(AC96=3,AC96=13),AC96=5)),NOT(OR(C96="RUP",AND(OR(AND(Procedura!$B$10="Lavori",AC96=10),AND(Procedura!$B$10&lt;&gt;"Lavori",AC96=2)),C96="Responsabile fase",Procedura!$B$29="Si")))),AND(IF(Procedura!$B$10="Lavori",OR(AC96=4,AC96=11,AC96=14),OR(AC96=3,AC96=6)),NOT(OR(C96="Supporto",C96="Altro",C96="Responsabile fase")))),"RUOLO NON COERENTE",IF(AND(IF(Procedura!$B$10="Lavori",OR(AC96=4,AC96=11,AC96=14),OR(AC96=3,AC96=6)),B96=Procedura!$B$28),"RUP E COLLABORAZIONE INCOMPATIBILI",IF(AND(AG96&gt;0,AG96&lt;&gt;AF96),"PESI MANUALI SOLO SU ALCUNE RIGHE",IF(AND(J96&gt;0,NOT(AND(Procedura!$B$10="Lavori",OR(AC96=5,AC96=6)))),"RITARDO PROGETTAZIONE NON PERTINENTE",IF(AND(M96&gt;0,M96&lt;5%),"CARENZE INFERIORI AL 5%",IF(AND(OR(J96&gt;0,K96&gt;0,L96&gt;0,M96&gt;0,I96="Si"),N96=""),"MOTIVARE ESCLUSIONE O RIDUZIONE",IF(AND(G96&gt;0,H96="Da verificare"),"ATTESTAZIONE DA ACQUISIRE",IF(AND(G96&gt;0,H96="Si",N96=""),"INDICARE ATTI ATTIVITA","COERENTE"))))))))))))))</f>
        <v/>
      </c>
      <c r="AA96" s="2" t="str">
        <f t="shared" si="39"/>
        <v/>
      </c>
      <c r="AB96" s="2" t="str">
        <f>IF(A96="","",INDEX(Voci!$C$6:$C$24,MATCH(A96,Voci!$A$6:$A$24,0)))</f>
        <v/>
      </c>
      <c r="AC96" s="2">
        <f>IF(A96="",0,INDEX(Voci!$B$6:$B$24,MATCH(A96,Voci!$A$6:$A$24,0)))</f>
        <v>0</v>
      </c>
      <c r="AD96" s="2">
        <f t="shared" si="40"/>
        <v>0</v>
      </c>
      <c r="AE96" s="2">
        <f t="shared" si="41"/>
        <v>0</v>
      </c>
      <c r="AF96" s="2">
        <f t="shared" si="42"/>
        <v>0</v>
      </c>
      <c r="AG96" s="2">
        <f t="shared" si="43"/>
        <v>0</v>
      </c>
      <c r="AH96">
        <f t="shared" si="44"/>
        <v>0</v>
      </c>
    </row>
    <row r="97" spans="1:34" ht="24" customHeight="1">
      <c r="A97" s="5"/>
      <c r="B97" s="5"/>
      <c r="C97" s="5"/>
      <c r="D97" s="8"/>
      <c r="E97" s="10">
        <f>IF(OR(A97="",B97=""),0,IF(ISNUMBER(D97),D97,IF(OR(AND(Procedura!$B$10="Lavori",AC97=10),AND(Procedura!$B$10&lt;&gt;"Lavori",AC97=2)),IF(Procedura!$B$29="Si",IF(C97="RUP",IF(Procedura!$B$10="Lavori",20%,IF(Voci!$M$7&gt;0,(Voci!$J$7*(1-Procedura!$B$39)+(Voci!$J$7*Procedura!$B$39-Voci!$L$7)*20%)/Voci!$M$7,0)),IF(C97="Responsabile fase",IF(Procedura!$B$10="Lavori",80%,IF(Voci!$M$7&gt;0,(Voci!$J$7*Procedura!$B$39-Voci!$L$7)*80%/Voci!$M$7,0)),0)),IF(C97="RUP",1,0)),IF(IF(Procedura!$B$10="Lavori",OR(AC97=3,AC97=13),AC97=5),IF(C97="RUP",1,0),IF(IF(Procedura!$B$10="Lavori",OR(AC97=4,AC97=11,AC97=14),OR(AC97=3,AC97=6)),IF(AND(AD97&gt;0,AE97&gt;0),IF(OR(C97="Supporto",C97="Responsabile fase"),60%/AD97,IF(C97="Altro",40%/AE97,0)),IF(AF97&gt;0,1/AF97,0)),IF(AF97&gt;0,1/AF97,0))))))</f>
        <v>0</v>
      </c>
      <c r="F97" s="11">
        <f>IF(A97="",0,INDEX(Voci!$M$6:$M$24,MATCH(A97,Voci!$A$6:$A$24,0))*E97)</f>
        <v>0</v>
      </c>
      <c r="G97" s="11">
        <f>IF(A97="",0,INDEX(Voci!$O$6:$O$24,MATCH(A97,Voci!$A$6:$A$24,0))*E97)</f>
        <v>0</v>
      </c>
      <c r="H97" s="5" t="s">
        <v>60</v>
      </c>
      <c r="I97" s="5" t="s">
        <v>67</v>
      </c>
      <c r="J97" s="8">
        <v>0</v>
      </c>
      <c r="K97" s="8">
        <v>0</v>
      </c>
      <c r="L97" s="8">
        <v>0</v>
      </c>
      <c r="M97" s="8">
        <v>0</v>
      </c>
      <c r="N97" s="5"/>
      <c r="O97" s="10">
        <f t="shared" si="30"/>
        <v>0</v>
      </c>
      <c r="P97" s="10">
        <f t="shared" si="31"/>
        <v>0</v>
      </c>
      <c r="Q97" s="10">
        <f t="shared" si="32"/>
        <v>0</v>
      </c>
      <c r="R97" s="10">
        <f t="shared" si="33"/>
        <v>0</v>
      </c>
      <c r="S97" s="11">
        <f t="shared" si="34"/>
        <v>0</v>
      </c>
      <c r="T97" s="11">
        <f t="shared" si="35"/>
        <v>0</v>
      </c>
      <c r="U97" s="11">
        <f t="shared" si="36"/>
        <v>0</v>
      </c>
      <c r="V97" s="10">
        <f>IF(B97="",0,INDEX(Personale!$F$6:$F$25,MATCH(B97,Personale!$A$6:$A$25,0)))</f>
        <v>0</v>
      </c>
      <c r="W97" s="11">
        <f t="shared" si="37"/>
        <v>0</v>
      </c>
      <c r="X97" s="11">
        <f t="shared" si="38"/>
        <v>0</v>
      </c>
      <c r="Y97" s="11">
        <f>IF(B97="",0,W97*INDEX(Personale!$G$6:$G$25,MATCH(B97,Personale!$A$6:$A$25,0)))</f>
        <v>0</v>
      </c>
      <c r="Z97" s="2" t="str">
        <f>IF(AND(A97&lt;&gt;"",Procedura!$B$10&lt;&gt;"Lavori",AC97=7,B97=Procedura!$B$28),"DEC DEVE ESSERE DIVERSO DAL RUP",IF(AND(ISNUMBER(D97),OR(OR(AND(Procedura!$B$10="Lavori",AC97=10),AND(Procedura!$B$10&lt;&gt;"Lavori",AC97=2)),IF(Procedura!$B$10="Lavori",OR(AC97=3,AC97=13),AC97=5)),ABS(E97-IF(IF(Procedura!$B$10="Lavori",OR(AC97=3,AC97=13),AC97=5),1,IF(Procedura!$B$29="No",1,IF(C97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FISSO",IF(AND(A97="",B97=""),"",IF(OR(A97="",B97="",C97=""),"COMPLETARE VOCE PERSONA RUOLO",IF(COUNTIFS($AA$6:$AA$105,AA97)&gt;1,"PERSONA RIPETUTA NELLA VOCE",IF(INDEX(Voci!$F$6:$F$24,MATCH(A97,Voci!$A$6:$A$24,0))&lt;&gt;"Interna","VOCE NON INTERNA",IF(OR(AND(C97="RUP",B97&lt;&gt;Procedura!$B$28),AND(C97="Responsabile fase",OR(Procedura!$B$29&lt;&gt;"Si",B97&lt;&gt;Procedura!$B$30)),AND(OR(OR(AND(Procedura!$B$10="Lavori",AC97=10),AND(Procedura!$B$10&lt;&gt;"Lavori",AC97=2)),IF(Procedura!$B$10="Lavori",OR(AC97=3,AC97=13),AC97=5)),NOT(OR(C97="RUP",AND(OR(AND(Procedura!$B$10="Lavori",AC97=10),AND(Procedura!$B$10&lt;&gt;"Lavori",AC97=2)),C97="Responsabile fase",Procedura!$B$29="Si")))),AND(IF(Procedura!$B$10="Lavori",OR(AC97=4,AC97=11,AC97=14),OR(AC97=3,AC97=6)),NOT(OR(C97="Supporto",C97="Altro",C97="Responsabile fase")))),"RUOLO NON COERENTE",IF(AND(IF(Procedura!$B$10="Lavori",OR(AC97=4,AC97=11,AC97=14),OR(AC97=3,AC97=6)),B97=Procedura!$B$28),"RUP E COLLABORAZIONE INCOMPATIBILI",IF(AND(AG97&gt;0,AG97&lt;&gt;AF97),"PESI MANUALI SOLO SU ALCUNE RIGHE",IF(AND(J97&gt;0,NOT(AND(Procedura!$B$10="Lavori",OR(AC97=5,AC97=6)))),"RITARDO PROGETTAZIONE NON PERTINENTE",IF(AND(M97&gt;0,M97&lt;5%),"CARENZE INFERIORI AL 5%",IF(AND(OR(J97&gt;0,K97&gt;0,L97&gt;0,M97&gt;0,I97="Si"),N97=""),"MOTIVARE ESCLUSIONE O RIDUZIONE",IF(AND(G97&gt;0,H97="Da verificare"),"ATTESTAZIONE DA ACQUISIRE",IF(AND(G97&gt;0,H97="Si",N97=""),"INDICARE ATTI ATTIVITA","COERENTE"))))))))))))))</f>
        <v/>
      </c>
      <c r="AA97" s="2" t="str">
        <f t="shared" si="39"/>
        <v/>
      </c>
      <c r="AB97" s="2" t="str">
        <f>IF(A97="","",INDEX(Voci!$C$6:$C$24,MATCH(A97,Voci!$A$6:$A$24,0)))</f>
        <v/>
      </c>
      <c r="AC97" s="2">
        <f>IF(A97="",0,INDEX(Voci!$B$6:$B$24,MATCH(A97,Voci!$A$6:$A$24,0)))</f>
        <v>0</v>
      </c>
      <c r="AD97" s="2">
        <f t="shared" si="40"/>
        <v>0</v>
      </c>
      <c r="AE97" s="2">
        <f t="shared" si="41"/>
        <v>0</v>
      </c>
      <c r="AF97" s="2">
        <f t="shared" si="42"/>
        <v>0</v>
      </c>
      <c r="AG97" s="2">
        <f t="shared" si="43"/>
        <v>0</v>
      </c>
      <c r="AH97">
        <f t="shared" si="44"/>
        <v>0</v>
      </c>
    </row>
    <row r="98" spans="1:34" ht="24" customHeight="1">
      <c r="A98" s="5"/>
      <c r="B98" s="5"/>
      <c r="C98" s="5"/>
      <c r="D98" s="8"/>
      <c r="E98" s="10">
        <f>IF(OR(A98="",B98=""),0,IF(ISNUMBER(D98),D98,IF(OR(AND(Procedura!$B$10="Lavori",AC98=10),AND(Procedura!$B$10&lt;&gt;"Lavori",AC98=2)),IF(Procedura!$B$29="Si",IF(C98="RUP",IF(Procedura!$B$10="Lavori",20%,IF(Voci!$M$7&gt;0,(Voci!$J$7*(1-Procedura!$B$39)+(Voci!$J$7*Procedura!$B$39-Voci!$L$7)*20%)/Voci!$M$7,0)),IF(C98="Responsabile fase",IF(Procedura!$B$10="Lavori",80%,IF(Voci!$M$7&gt;0,(Voci!$J$7*Procedura!$B$39-Voci!$L$7)*80%/Voci!$M$7,0)),0)),IF(C98="RUP",1,0)),IF(IF(Procedura!$B$10="Lavori",OR(AC98=3,AC98=13),AC98=5),IF(C98="RUP",1,0),IF(IF(Procedura!$B$10="Lavori",OR(AC98=4,AC98=11,AC98=14),OR(AC98=3,AC98=6)),IF(AND(AD98&gt;0,AE98&gt;0),IF(OR(C98="Supporto",C98="Responsabile fase"),60%/AD98,IF(C98="Altro",40%/AE98,0)),IF(AF98&gt;0,1/AF98,0)),IF(AF98&gt;0,1/AF98,0))))))</f>
        <v>0</v>
      </c>
      <c r="F98" s="11">
        <f>IF(A98="",0,INDEX(Voci!$M$6:$M$24,MATCH(A98,Voci!$A$6:$A$24,0))*E98)</f>
        <v>0</v>
      </c>
      <c r="G98" s="11">
        <f>IF(A98="",0,INDEX(Voci!$O$6:$O$24,MATCH(A98,Voci!$A$6:$A$24,0))*E98)</f>
        <v>0</v>
      </c>
      <c r="H98" s="5" t="s">
        <v>60</v>
      </c>
      <c r="I98" s="5" t="s">
        <v>67</v>
      </c>
      <c r="J98" s="8">
        <v>0</v>
      </c>
      <c r="K98" s="8">
        <v>0</v>
      </c>
      <c r="L98" s="8">
        <v>0</v>
      </c>
      <c r="M98" s="8">
        <v>0</v>
      </c>
      <c r="N98" s="5"/>
      <c r="O98" s="10">
        <f t="shared" si="30"/>
        <v>0</v>
      </c>
      <c r="P98" s="10">
        <f t="shared" si="31"/>
        <v>0</v>
      </c>
      <c r="Q98" s="10">
        <f t="shared" si="32"/>
        <v>0</v>
      </c>
      <c r="R98" s="10">
        <f t="shared" si="33"/>
        <v>0</v>
      </c>
      <c r="S98" s="11">
        <f t="shared" si="34"/>
        <v>0</v>
      </c>
      <c r="T98" s="11">
        <f t="shared" si="35"/>
        <v>0</v>
      </c>
      <c r="U98" s="11">
        <f t="shared" si="36"/>
        <v>0</v>
      </c>
      <c r="V98" s="10">
        <f>IF(B98="",0,INDEX(Personale!$F$6:$F$25,MATCH(B98,Personale!$A$6:$A$25,0)))</f>
        <v>0</v>
      </c>
      <c r="W98" s="11">
        <f t="shared" si="37"/>
        <v>0</v>
      </c>
      <c r="X98" s="11">
        <f t="shared" si="38"/>
        <v>0</v>
      </c>
      <c r="Y98" s="11">
        <f>IF(B98="",0,W98*INDEX(Personale!$G$6:$G$25,MATCH(B98,Personale!$A$6:$A$25,0)))</f>
        <v>0</v>
      </c>
      <c r="Z98" s="2" t="str">
        <f>IF(AND(A98&lt;&gt;"",Procedura!$B$10&lt;&gt;"Lavori",AC98=7,B98=Procedura!$B$28),"DEC DEVE ESSERE DIVERSO DAL RUP",IF(AND(ISNUMBER(D98),OR(OR(AND(Procedura!$B$10="Lavori",AC98=10),AND(Procedura!$B$10&lt;&gt;"Lavori",AC98=2)),IF(Procedura!$B$10="Lavori",OR(AC98=3,AC98=13),AC98=5)),ABS(E98-IF(IF(Procedura!$B$10="Lavori",OR(AC98=3,AC98=13),AC98=5),1,IF(Procedura!$B$29="No",1,IF(C98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FISSO",IF(AND(A98="",B98=""),"",IF(OR(A98="",B98="",C98=""),"COMPLETARE VOCE PERSONA RUOLO",IF(COUNTIFS($AA$6:$AA$105,AA98)&gt;1,"PERSONA RIPETUTA NELLA VOCE",IF(INDEX(Voci!$F$6:$F$24,MATCH(A98,Voci!$A$6:$A$24,0))&lt;&gt;"Interna","VOCE NON INTERNA",IF(OR(AND(C98="RUP",B98&lt;&gt;Procedura!$B$28),AND(C98="Responsabile fase",OR(Procedura!$B$29&lt;&gt;"Si",B98&lt;&gt;Procedura!$B$30)),AND(OR(OR(AND(Procedura!$B$10="Lavori",AC98=10),AND(Procedura!$B$10&lt;&gt;"Lavori",AC98=2)),IF(Procedura!$B$10="Lavori",OR(AC98=3,AC98=13),AC98=5)),NOT(OR(C98="RUP",AND(OR(AND(Procedura!$B$10="Lavori",AC98=10),AND(Procedura!$B$10&lt;&gt;"Lavori",AC98=2)),C98="Responsabile fase",Procedura!$B$29="Si")))),AND(IF(Procedura!$B$10="Lavori",OR(AC98=4,AC98=11,AC98=14),OR(AC98=3,AC98=6)),NOT(OR(C98="Supporto",C98="Altro",C98="Responsabile fase")))),"RUOLO NON COERENTE",IF(AND(IF(Procedura!$B$10="Lavori",OR(AC98=4,AC98=11,AC98=14),OR(AC98=3,AC98=6)),B98=Procedura!$B$28),"RUP E COLLABORAZIONE INCOMPATIBILI",IF(AND(AG98&gt;0,AG98&lt;&gt;AF98),"PESI MANUALI SOLO SU ALCUNE RIGHE",IF(AND(J98&gt;0,NOT(AND(Procedura!$B$10="Lavori",OR(AC98=5,AC98=6)))),"RITARDO PROGETTAZIONE NON PERTINENTE",IF(AND(M98&gt;0,M98&lt;5%),"CARENZE INFERIORI AL 5%",IF(AND(OR(J98&gt;0,K98&gt;0,L98&gt;0,M98&gt;0,I98="Si"),N98=""),"MOTIVARE ESCLUSIONE O RIDUZIONE",IF(AND(G98&gt;0,H98="Da verificare"),"ATTESTAZIONE DA ACQUISIRE",IF(AND(G98&gt;0,H98="Si",N98=""),"INDICARE ATTI ATTIVITA","COERENTE"))))))))))))))</f>
        <v/>
      </c>
      <c r="AA98" s="2" t="str">
        <f t="shared" si="39"/>
        <v/>
      </c>
      <c r="AB98" s="2" t="str">
        <f>IF(A98="","",INDEX(Voci!$C$6:$C$24,MATCH(A98,Voci!$A$6:$A$24,0)))</f>
        <v/>
      </c>
      <c r="AC98" s="2">
        <f>IF(A98="",0,INDEX(Voci!$B$6:$B$24,MATCH(A98,Voci!$A$6:$A$24,0)))</f>
        <v>0</v>
      </c>
      <c r="AD98" s="2">
        <f t="shared" si="40"/>
        <v>0</v>
      </c>
      <c r="AE98" s="2">
        <f t="shared" si="41"/>
        <v>0</v>
      </c>
      <c r="AF98" s="2">
        <f t="shared" si="42"/>
        <v>0</v>
      </c>
      <c r="AG98" s="2">
        <f t="shared" si="43"/>
        <v>0</v>
      </c>
      <c r="AH98">
        <f t="shared" si="44"/>
        <v>0</v>
      </c>
    </row>
    <row r="99" spans="1:34" ht="24" customHeight="1">
      <c r="A99" s="5"/>
      <c r="B99" s="5"/>
      <c r="C99" s="5"/>
      <c r="D99" s="8"/>
      <c r="E99" s="10">
        <f>IF(OR(A99="",B99=""),0,IF(ISNUMBER(D99),D99,IF(OR(AND(Procedura!$B$10="Lavori",AC99=10),AND(Procedura!$B$10&lt;&gt;"Lavori",AC99=2)),IF(Procedura!$B$29="Si",IF(C99="RUP",IF(Procedura!$B$10="Lavori",20%,IF(Voci!$M$7&gt;0,(Voci!$J$7*(1-Procedura!$B$39)+(Voci!$J$7*Procedura!$B$39-Voci!$L$7)*20%)/Voci!$M$7,0)),IF(C99="Responsabile fase",IF(Procedura!$B$10="Lavori",80%,IF(Voci!$M$7&gt;0,(Voci!$J$7*Procedura!$B$39-Voci!$L$7)*80%/Voci!$M$7,0)),0)),IF(C99="RUP",1,0)),IF(IF(Procedura!$B$10="Lavori",OR(AC99=3,AC99=13),AC99=5),IF(C99="RUP",1,0),IF(IF(Procedura!$B$10="Lavori",OR(AC99=4,AC99=11,AC99=14),OR(AC99=3,AC99=6)),IF(AND(AD99&gt;0,AE99&gt;0),IF(OR(C99="Supporto",C99="Responsabile fase"),60%/AD99,IF(C99="Altro",40%/AE99,0)),IF(AF99&gt;0,1/AF99,0)),IF(AF99&gt;0,1/AF99,0))))))</f>
        <v>0</v>
      </c>
      <c r="F99" s="11">
        <f>IF(A99="",0,INDEX(Voci!$M$6:$M$24,MATCH(A99,Voci!$A$6:$A$24,0))*E99)</f>
        <v>0</v>
      </c>
      <c r="G99" s="11">
        <f>IF(A99="",0,INDEX(Voci!$O$6:$O$24,MATCH(A99,Voci!$A$6:$A$24,0))*E99)</f>
        <v>0</v>
      </c>
      <c r="H99" s="5" t="s">
        <v>60</v>
      </c>
      <c r="I99" s="5" t="s">
        <v>67</v>
      </c>
      <c r="J99" s="8">
        <v>0</v>
      </c>
      <c r="K99" s="8">
        <v>0</v>
      </c>
      <c r="L99" s="8">
        <v>0</v>
      </c>
      <c r="M99" s="8">
        <v>0</v>
      </c>
      <c r="N99" s="5"/>
      <c r="O99" s="10">
        <f t="shared" si="30"/>
        <v>0</v>
      </c>
      <c r="P99" s="10">
        <f t="shared" si="31"/>
        <v>0</v>
      </c>
      <c r="Q99" s="10">
        <f t="shared" si="32"/>
        <v>0</v>
      </c>
      <c r="R99" s="10">
        <f t="shared" si="33"/>
        <v>0</v>
      </c>
      <c r="S99" s="11">
        <f t="shared" si="34"/>
        <v>0</v>
      </c>
      <c r="T99" s="11">
        <f t="shared" si="35"/>
        <v>0</v>
      </c>
      <c r="U99" s="11">
        <f t="shared" si="36"/>
        <v>0</v>
      </c>
      <c r="V99" s="10">
        <f>IF(B99="",0,INDEX(Personale!$F$6:$F$25,MATCH(B99,Personale!$A$6:$A$25,0)))</f>
        <v>0</v>
      </c>
      <c r="W99" s="11">
        <f t="shared" si="37"/>
        <v>0</v>
      </c>
      <c r="X99" s="11">
        <f t="shared" si="38"/>
        <v>0</v>
      </c>
      <c r="Y99" s="11">
        <f>IF(B99="",0,W99*INDEX(Personale!$G$6:$G$25,MATCH(B99,Personale!$A$6:$A$25,0)))</f>
        <v>0</v>
      </c>
      <c r="Z99" s="2" t="str">
        <f>IF(AND(A99&lt;&gt;"",Procedura!$B$10&lt;&gt;"Lavori",AC99=7,B99=Procedura!$B$28),"DEC DEVE ESSERE DIVERSO DAL RUP",IF(AND(ISNUMBER(D99),OR(OR(AND(Procedura!$B$10="Lavori",AC99=10),AND(Procedura!$B$10&lt;&gt;"Lavori",AC99=2)),IF(Procedura!$B$10="Lavori",OR(AC99=3,AC99=13),AC99=5)),ABS(E99-IF(IF(Procedura!$B$10="Lavori",OR(AC99=3,AC99=13),AC99=5),1,IF(Procedura!$B$29="No",1,IF(C99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FISSO",IF(AND(A99="",B99=""),"",IF(OR(A99="",B99="",C99=""),"COMPLETARE VOCE PERSONA RUOLO",IF(COUNTIFS($AA$6:$AA$105,AA99)&gt;1,"PERSONA RIPETUTA NELLA VOCE",IF(INDEX(Voci!$F$6:$F$24,MATCH(A99,Voci!$A$6:$A$24,0))&lt;&gt;"Interna","VOCE NON INTERNA",IF(OR(AND(C99="RUP",B99&lt;&gt;Procedura!$B$28),AND(C99="Responsabile fase",OR(Procedura!$B$29&lt;&gt;"Si",B99&lt;&gt;Procedura!$B$30)),AND(OR(OR(AND(Procedura!$B$10="Lavori",AC99=10),AND(Procedura!$B$10&lt;&gt;"Lavori",AC99=2)),IF(Procedura!$B$10="Lavori",OR(AC99=3,AC99=13),AC99=5)),NOT(OR(C99="RUP",AND(OR(AND(Procedura!$B$10="Lavori",AC99=10),AND(Procedura!$B$10&lt;&gt;"Lavori",AC99=2)),C99="Responsabile fase",Procedura!$B$29="Si")))),AND(IF(Procedura!$B$10="Lavori",OR(AC99=4,AC99=11,AC99=14),OR(AC99=3,AC99=6)),NOT(OR(C99="Supporto",C99="Altro",C99="Responsabile fase")))),"RUOLO NON COERENTE",IF(AND(IF(Procedura!$B$10="Lavori",OR(AC99=4,AC99=11,AC99=14),OR(AC99=3,AC99=6)),B99=Procedura!$B$28),"RUP E COLLABORAZIONE INCOMPATIBILI",IF(AND(AG99&gt;0,AG99&lt;&gt;AF99),"PESI MANUALI SOLO SU ALCUNE RIGHE",IF(AND(J99&gt;0,NOT(AND(Procedura!$B$10="Lavori",OR(AC99=5,AC99=6)))),"RITARDO PROGETTAZIONE NON PERTINENTE",IF(AND(M99&gt;0,M99&lt;5%),"CARENZE INFERIORI AL 5%",IF(AND(OR(J99&gt;0,K99&gt;0,L99&gt;0,M99&gt;0,I99="Si"),N99=""),"MOTIVARE ESCLUSIONE O RIDUZIONE",IF(AND(G99&gt;0,H99="Da verificare"),"ATTESTAZIONE DA ACQUISIRE",IF(AND(G99&gt;0,H99="Si",N99=""),"INDICARE ATTI ATTIVITA","COERENTE"))))))))))))))</f>
        <v/>
      </c>
      <c r="AA99" s="2" t="str">
        <f t="shared" si="39"/>
        <v/>
      </c>
      <c r="AB99" s="2" t="str">
        <f>IF(A99="","",INDEX(Voci!$C$6:$C$24,MATCH(A99,Voci!$A$6:$A$24,0)))</f>
        <v/>
      </c>
      <c r="AC99" s="2">
        <f>IF(A99="",0,INDEX(Voci!$B$6:$B$24,MATCH(A99,Voci!$A$6:$A$24,0)))</f>
        <v>0</v>
      </c>
      <c r="AD99" s="2">
        <f t="shared" si="40"/>
        <v>0</v>
      </c>
      <c r="AE99" s="2">
        <f t="shared" si="41"/>
        <v>0</v>
      </c>
      <c r="AF99" s="2">
        <f t="shared" si="42"/>
        <v>0</v>
      </c>
      <c r="AG99" s="2">
        <f t="shared" si="43"/>
        <v>0</v>
      </c>
      <c r="AH99">
        <f t="shared" si="44"/>
        <v>0</v>
      </c>
    </row>
    <row r="100" spans="1:34" ht="24" customHeight="1">
      <c r="A100" s="5"/>
      <c r="B100" s="5"/>
      <c r="C100" s="5"/>
      <c r="D100" s="8"/>
      <c r="E100" s="10">
        <f>IF(OR(A100="",B100=""),0,IF(ISNUMBER(D100),D100,IF(OR(AND(Procedura!$B$10="Lavori",AC100=10),AND(Procedura!$B$10&lt;&gt;"Lavori",AC100=2)),IF(Procedura!$B$29="Si",IF(C100="RUP",IF(Procedura!$B$10="Lavori",20%,IF(Voci!$M$7&gt;0,(Voci!$J$7*(1-Procedura!$B$39)+(Voci!$J$7*Procedura!$B$39-Voci!$L$7)*20%)/Voci!$M$7,0)),IF(C100="Responsabile fase",IF(Procedura!$B$10="Lavori",80%,IF(Voci!$M$7&gt;0,(Voci!$J$7*Procedura!$B$39-Voci!$L$7)*80%/Voci!$M$7,0)),0)),IF(C100="RUP",1,0)),IF(IF(Procedura!$B$10="Lavori",OR(AC100=3,AC100=13),AC100=5),IF(C100="RUP",1,0),IF(IF(Procedura!$B$10="Lavori",OR(AC100=4,AC100=11,AC100=14),OR(AC100=3,AC100=6)),IF(AND(AD100&gt;0,AE100&gt;0),IF(OR(C100="Supporto",C100="Responsabile fase"),60%/AD100,IF(C100="Altro",40%/AE100,0)),IF(AF100&gt;0,1/AF100,0)),IF(AF100&gt;0,1/AF100,0))))))</f>
        <v>0</v>
      </c>
      <c r="F100" s="11">
        <f>IF(A100="",0,INDEX(Voci!$M$6:$M$24,MATCH(A100,Voci!$A$6:$A$24,0))*E100)</f>
        <v>0</v>
      </c>
      <c r="G100" s="11">
        <f>IF(A100="",0,INDEX(Voci!$O$6:$O$24,MATCH(A100,Voci!$A$6:$A$24,0))*E100)</f>
        <v>0</v>
      </c>
      <c r="H100" s="5" t="s">
        <v>60</v>
      </c>
      <c r="I100" s="5" t="s">
        <v>67</v>
      </c>
      <c r="J100" s="8">
        <v>0</v>
      </c>
      <c r="K100" s="8">
        <v>0</v>
      </c>
      <c r="L100" s="8">
        <v>0</v>
      </c>
      <c r="M100" s="8">
        <v>0</v>
      </c>
      <c r="N100" s="5"/>
      <c r="O100" s="10">
        <f t="shared" si="30"/>
        <v>0</v>
      </c>
      <c r="P100" s="10">
        <f t="shared" si="31"/>
        <v>0</v>
      </c>
      <c r="Q100" s="10">
        <f t="shared" si="32"/>
        <v>0</v>
      </c>
      <c r="R100" s="10">
        <f t="shared" si="33"/>
        <v>0</v>
      </c>
      <c r="S100" s="11">
        <f t="shared" si="34"/>
        <v>0</v>
      </c>
      <c r="T100" s="11">
        <f t="shared" si="35"/>
        <v>0</v>
      </c>
      <c r="U100" s="11">
        <f t="shared" si="36"/>
        <v>0</v>
      </c>
      <c r="V100" s="10">
        <f>IF(B100="",0,INDEX(Personale!$F$6:$F$25,MATCH(B100,Personale!$A$6:$A$25,0)))</f>
        <v>0</v>
      </c>
      <c r="W100" s="11">
        <f t="shared" si="37"/>
        <v>0</v>
      </c>
      <c r="X100" s="11">
        <f t="shared" si="38"/>
        <v>0</v>
      </c>
      <c r="Y100" s="11">
        <f>IF(B100="",0,W100*INDEX(Personale!$G$6:$G$25,MATCH(B100,Personale!$A$6:$A$25,0)))</f>
        <v>0</v>
      </c>
      <c r="Z100" s="2" t="str">
        <f>IF(AND(A100&lt;&gt;"",Procedura!$B$10&lt;&gt;"Lavori",AC100=7,B100=Procedura!$B$28),"DEC DEVE ESSERE DIVERSO DAL RUP",IF(AND(ISNUMBER(D100),OR(OR(AND(Procedura!$B$10="Lavori",AC100=10),AND(Procedura!$B$10&lt;&gt;"Lavori",AC100=2)),IF(Procedura!$B$10="Lavori",OR(AC100=3,AC100=13),AC100=5)),ABS(E100-IF(IF(Procedura!$B$10="Lavori",OR(AC100=3,AC100=13),AC100=5),1,IF(Procedura!$B$29="No",1,IF(C100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FISSO",IF(AND(A100="",B100=""),"",IF(OR(A100="",B100="",C100=""),"COMPLETARE VOCE PERSONA RUOLO",IF(COUNTIFS($AA$6:$AA$105,AA100)&gt;1,"PERSONA RIPETUTA NELLA VOCE",IF(INDEX(Voci!$F$6:$F$24,MATCH(A100,Voci!$A$6:$A$24,0))&lt;&gt;"Interna","VOCE NON INTERNA",IF(OR(AND(C100="RUP",B100&lt;&gt;Procedura!$B$28),AND(C100="Responsabile fase",OR(Procedura!$B$29&lt;&gt;"Si",B100&lt;&gt;Procedura!$B$30)),AND(OR(OR(AND(Procedura!$B$10="Lavori",AC100=10),AND(Procedura!$B$10&lt;&gt;"Lavori",AC100=2)),IF(Procedura!$B$10="Lavori",OR(AC100=3,AC100=13),AC100=5)),NOT(OR(C100="RUP",AND(OR(AND(Procedura!$B$10="Lavori",AC100=10),AND(Procedura!$B$10&lt;&gt;"Lavori",AC100=2)),C100="Responsabile fase",Procedura!$B$29="Si")))),AND(IF(Procedura!$B$10="Lavori",OR(AC100=4,AC100=11,AC100=14),OR(AC100=3,AC100=6)),NOT(OR(C100="Supporto",C100="Altro",C100="Responsabile fase")))),"RUOLO NON COERENTE",IF(AND(IF(Procedura!$B$10="Lavori",OR(AC100=4,AC100=11,AC100=14),OR(AC100=3,AC100=6)),B100=Procedura!$B$28),"RUP E COLLABORAZIONE INCOMPATIBILI",IF(AND(AG100&gt;0,AG100&lt;&gt;AF100),"PESI MANUALI SOLO SU ALCUNE RIGHE",IF(AND(J100&gt;0,NOT(AND(Procedura!$B$10="Lavori",OR(AC100=5,AC100=6)))),"RITARDO PROGETTAZIONE NON PERTINENTE",IF(AND(M100&gt;0,M100&lt;5%),"CARENZE INFERIORI AL 5%",IF(AND(OR(J100&gt;0,K100&gt;0,L100&gt;0,M100&gt;0,I100="Si"),N100=""),"MOTIVARE ESCLUSIONE O RIDUZIONE",IF(AND(G100&gt;0,H100="Da verificare"),"ATTESTAZIONE DA ACQUISIRE",IF(AND(G100&gt;0,H100="Si",N100=""),"INDICARE ATTI ATTIVITA","COERENTE"))))))))))))))</f>
        <v/>
      </c>
      <c r="AA100" s="2" t="str">
        <f t="shared" si="39"/>
        <v/>
      </c>
      <c r="AB100" s="2" t="str">
        <f>IF(A100="","",INDEX(Voci!$C$6:$C$24,MATCH(A100,Voci!$A$6:$A$24,0)))</f>
        <v/>
      </c>
      <c r="AC100" s="2">
        <f>IF(A100="",0,INDEX(Voci!$B$6:$B$24,MATCH(A100,Voci!$A$6:$A$24,0)))</f>
        <v>0</v>
      </c>
      <c r="AD100" s="2">
        <f t="shared" si="40"/>
        <v>0</v>
      </c>
      <c r="AE100" s="2">
        <f t="shared" si="41"/>
        <v>0</v>
      </c>
      <c r="AF100" s="2">
        <f t="shared" si="42"/>
        <v>0</v>
      </c>
      <c r="AG100" s="2">
        <f t="shared" si="43"/>
        <v>0</v>
      </c>
      <c r="AH100">
        <f t="shared" si="44"/>
        <v>0</v>
      </c>
    </row>
    <row r="101" spans="1:34" ht="24" customHeight="1">
      <c r="A101" s="5"/>
      <c r="B101" s="5"/>
      <c r="C101" s="5"/>
      <c r="D101" s="8"/>
      <c r="E101" s="10">
        <f>IF(OR(A101="",B101=""),0,IF(ISNUMBER(D101),D101,IF(OR(AND(Procedura!$B$10="Lavori",AC101=10),AND(Procedura!$B$10&lt;&gt;"Lavori",AC101=2)),IF(Procedura!$B$29="Si",IF(C101="RUP",IF(Procedura!$B$10="Lavori",20%,IF(Voci!$M$7&gt;0,(Voci!$J$7*(1-Procedura!$B$39)+(Voci!$J$7*Procedura!$B$39-Voci!$L$7)*20%)/Voci!$M$7,0)),IF(C101="Responsabile fase",IF(Procedura!$B$10="Lavori",80%,IF(Voci!$M$7&gt;0,(Voci!$J$7*Procedura!$B$39-Voci!$L$7)*80%/Voci!$M$7,0)),0)),IF(C101="RUP",1,0)),IF(IF(Procedura!$B$10="Lavori",OR(AC101=3,AC101=13),AC101=5),IF(C101="RUP",1,0),IF(IF(Procedura!$B$10="Lavori",OR(AC101=4,AC101=11,AC101=14),OR(AC101=3,AC101=6)),IF(AND(AD101&gt;0,AE101&gt;0),IF(OR(C101="Supporto",C101="Responsabile fase"),60%/AD101,IF(C101="Altro",40%/AE101,0)),IF(AF101&gt;0,1/AF101,0)),IF(AF101&gt;0,1/AF101,0))))))</f>
        <v>0</v>
      </c>
      <c r="F101" s="11">
        <f>IF(A101="",0,INDEX(Voci!$M$6:$M$24,MATCH(A101,Voci!$A$6:$A$24,0))*E101)</f>
        <v>0</v>
      </c>
      <c r="G101" s="11">
        <f>IF(A101="",0,INDEX(Voci!$O$6:$O$24,MATCH(A101,Voci!$A$6:$A$24,0))*E101)</f>
        <v>0</v>
      </c>
      <c r="H101" s="5" t="s">
        <v>60</v>
      </c>
      <c r="I101" s="5" t="s">
        <v>67</v>
      </c>
      <c r="J101" s="8">
        <v>0</v>
      </c>
      <c r="K101" s="8">
        <v>0</v>
      </c>
      <c r="L101" s="8">
        <v>0</v>
      </c>
      <c r="M101" s="8">
        <v>0</v>
      </c>
      <c r="N101" s="5"/>
      <c r="O101" s="10">
        <f t="shared" si="30"/>
        <v>0</v>
      </c>
      <c r="P101" s="10">
        <f t="shared" si="31"/>
        <v>0</v>
      </c>
      <c r="Q101" s="10">
        <f t="shared" si="32"/>
        <v>0</v>
      </c>
      <c r="R101" s="10">
        <f t="shared" si="33"/>
        <v>0</v>
      </c>
      <c r="S101" s="11">
        <f t="shared" si="34"/>
        <v>0</v>
      </c>
      <c r="T101" s="11">
        <f t="shared" si="35"/>
        <v>0</v>
      </c>
      <c r="U101" s="11">
        <f t="shared" si="36"/>
        <v>0</v>
      </c>
      <c r="V101" s="10">
        <f>IF(B101="",0,INDEX(Personale!$F$6:$F$25,MATCH(B101,Personale!$A$6:$A$25,0)))</f>
        <v>0</v>
      </c>
      <c r="W101" s="11">
        <f t="shared" si="37"/>
        <v>0</v>
      </c>
      <c r="X101" s="11">
        <f t="shared" si="38"/>
        <v>0</v>
      </c>
      <c r="Y101" s="11">
        <f>IF(B101="",0,W101*INDEX(Personale!$G$6:$G$25,MATCH(B101,Personale!$A$6:$A$25,0)))</f>
        <v>0</v>
      </c>
      <c r="Z101" s="2" t="str">
        <f>IF(AND(A101&lt;&gt;"",Procedura!$B$10&lt;&gt;"Lavori",AC101=7,B101=Procedura!$B$28),"DEC DEVE ESSERE DIVERSO DAL RUP",IF(AND(ISNUMBER(D101),OR(OR(AND(Procedura!$B$10="Lavori",AC101=10),AND(Procedura!$B$10&lt;&gt;"Lavori",AC101=2)),IF(Procedura!$B$10="Lavori",OR(AC101=3,AC101=13),AC101=5)),ABS(E101-IF(IF(Procedura!$B$10="Lavori",OR(AC101=3,AC101=13),AC101=5),1,IF(Procedura!$B$29="No",1,IF(C101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FISSO",IF(AND(A101="",B101=""),"",IF(OR(A101="",B101="",C101=""),"COMPLETARE VOCE PERSONA RUOLO",IF(COUNTIFS($AA$6:$AA$105,AA101)&gt;1,"PERSONA RIPETUTA NELLA VOCE",IF(INDEX(Voci!$F$6:$F$24,MATCH(A101,Voci!$A$6:$A$24,0))&lt;&gt;"Interna","VOCE NON INTERNA",IF(OR(AND(C101="RUP",B101&lt;&gt;Procedura!$B$28),AND(C101="Responsabile fase",OR(Procedura!$B$29&lt;&gt;"Si",B101&lt;&gt;Procedura!$B$30)),AND(OR(OR(AND(Procedura!$B$10="Lavori",AC101=10),AND(Procedura!$B$10&lt;&gt;"Lavori",AC101=2)),IF(Procedura!$B$10="Lavori",OR(AC101=3,AC101=13),AC101=5)),NOT(OR(C101="RUP",AND(OR(AND(Procedura!$B$10="Lavori",AC101=10),AND(Procedura!$B$10&lt;&gt;"Lavori",AC101=2)),C101="Responsabile fase",Procedura!$B$29="Si")))),AND(IF(Procedura!$B$10="Lavori",OR(AC101=4,AC101=11,AC101=14),OR(AC101=3,AC101=6)),NOT(OR(C101="Supporto",C101="Altro",C101="Responsabile fase")))),"RUOLO NON COERENTE",IF(AND(IF(Procedura!$B$10="Lavori",OR(AC101=4,AC101=11,AC101=14),OR(AC101=3,AC101=6)),B101=Procedura!$B$28),"RUP E COLLABORAZIONE INCOMPATIBILI",IF(AND(AG101&gt;0,AG101&lt;&gt;AF101),"PESI MANUALI SOLO SU ALCUNE RIGHE",IF(AND(J101&gt;0,NOT(AND(Procedura!$B$10="Lavori",OR(AC101=5,AC101=6)))),"RITARDO PROGETTAZIONE NON PERTINENTE",IF(AND(M101&gt;0,M101&lt;5%),"CARENZE INFERIORI AL 5%",IF(AND(OR(J101&gt;0,K101&gt;0,L101&gt;0,M101&gt;0,I101="Si"),N101=""),"MOTIVARE ESCLUSIONE O RIDUZIONE",IF(AND(G101&gt;0,H101="Da verificare"),"ATTESTAZIONE DA ACQUISIRE",IF(AND(G101&gt;0,H101="Si",N101=""),"INDICARE ATTI ATTIVITA","COERENTE"))))))))))))))</f>
        <v/>
      </c>
      <c r="AA101" s="2" t="str">
        <f t="shared" si="39"/>
        <v/>
      </c>
      <c r="AB101" s="2" t="str">
        <f>IF(A101="","",INDEX(Voci!$C$6:$C$24,MATCH(A101,Voci!$A$6:$A$24,0)))</f>
        <v/>
      </c>
      <c r="AC101" s="2">
        <f>IF(A101="",0,INDEX(Voci!$B$6:$B$24,MATCH(A101,Voci!$A$6:$A$24,0)))</f>
        <v>0</v>
      </c>
      <c r="AD101" s="2">
        <f t="shared" si="40"/>
        <v>0</v>
      </c>
      <c r="AE101" s="2">
        <f t="shared" si="41"/>
        <v>0</v>
      </c>
      <c r="AF101" s="2">
        <f t="shared" si="42"/>
        <v>0</v>
      </c>
      <c r="AG101" s="2">
        <f t="shared" si="43"/>
        <v>0</v>
      </c>
      <c r="AH101">
        <f t="shared" si="44"/>
        <v>0</v>
      </c>
    </row>
    <row r="102" spans="1:34" ht="24" customHeight="1">
      <c r="A102" s="5"/>
      <c r="B102" s="5"/>
      <c r="C102" s="5"/>
      <c r="D102" s="8"/>
      <c r="E102" s="10">
        <f>IF(OR(A102="",B102=""),0,IF(ISNUMBER(D102),D102,IF(OR(AND(Procedura!$B$10="Lavori",AC102=10),AND(Procedura!$B$10&lt;&gt;"Lavori",AC102=2)),IF(Procedura!$B$29="Si",IF(C102="RUP",IF(Procedura!$B$10="Lavori",20%,IF(Voci!$M$7&gt;0,(Voci!$J$7*(1-Procedura!$B$39)+(Voci!$J$7*Procedura!$B$39-Voci!$L$7)*20%)/Voci!$M$7,0)),IF(C102="Responsabile fase",IF(Procedura!$B$10="Lavori",80%,IF(Voci!$M$7&gt;0,(Voci!$J$7*Procedura!$B$39-Voci!$L$7)*80%/Voci!$M$7,0)),0)),IF(C102="RUP",1,0)),IF(IF(Procedura!$B$10="Lavori",OR(AC102=3,AC102=13),AC102=5),IF(C102="RUP",1,0),IF(IF(Procedura!$B$10="Lavori",OR(AC102=4,AC102=11,AC102=14),OR(AC102=3,AC102=6)),IF(AND(AD102&gt;0,AE102&gt;0),IF(OR(C102="Supporto",C102="Responsabile fase"),60%/AD102,IF(C102="Altro",40%/AE102,0)),IF(AF102&gt;0,1/AF102,0)),IF(AF102&gt;0,1/AF102,0))))))</f>
        <v>0</v>
      </c>
      <c r="F102" s="11">
        <f>IF(A102="",0,INDEX(Voci!$M$6:$M$24,MATCH(A102,Voci!$A$6:$A$24,0))*E102)</f>
        <v>0</v>
      </c>
      <c r="G102" s="11">
        <f>IF(A102="",0,INDEX(Voci!$O$6:$O$24,MATCH(A102,Voci!$A$6:$A$24,0))*E102)</f>
        <v>0</v>
      </c>
      <c r="H102" s="5" t="s">
        <v>60</v>
      </c>
      <c r="I102" s="5" t="s">
        <v>67</v>
      </c>
      <c r="J102" s="8">
        <v>0</v>
      </c>
      <c r="K102" s="8">
        <v>0</v>
      </c>
      <c r="L102" s="8">
        <v>0</v>
      </c>
      <c r="M102" s="8">
        <v>0</v>
      </c>
      <c r="N102" s="5"/>
      <c r="O102" s="10">
        <f t="shared" si="30"/>
        <v>0</v>
      </c>
      <c r="P102" s="10">
        <f t="shared" si="31"/>
        <v>0</v>
      </c>
      <c r="Q102" s="10">
        <f t="shared" si="32"/>
        <v>0</v>
      </c>
      <c r="R102" s="10">
        <f t="shared" ref="R102:R133" si="45">MIN(100%,SUM(M102,O102:Q102))</f>
        <v>0</v>
      </c>
      <c r="S102" s="11">
        <f t="shared" ref="S102:S133" si="46">IF(I102="Si",G102,IF(H102="Si",G102*R102,0))</f>
        <v>0</v>
      </c>
      <c r="T102" s="11">
        <f t="shared" si="35"/>
        <v>0</v>
      </c>
      <c r="U102" s="11">
        <f t="shared" si="36"/>
        <v>0</v>
      </c>
      <c r="V102" s="10">
        <f>IF(B102="",0,INDEX(Personale!$F$6:$F$25,MATCH(B102,Personale!$A$6:$A$25,0)))</f>
        <v>0</v>
      </c>
      <c r="W102" s="11">
        <f t="shared" ref="W102:W133" si="47">U102/(1+V102)</f>
        <v>0</v>
      </c>
      <c r="X102" s="11">
        <f t="shared" ref="X102:X133" si="48">U102-W102</f>
        <v>0</v>
      </c>
      <c r="Y102" s="11">
        <f>IF(B102="",0,W102*INDEX(Personale!$G$6:$G$25,MATCH(B102,Personale!$A$6:$A$25,0)))</f>
        <v>0</v>
      </c>
      <c r="Z102" s="2" t="str">
        <f>IF(AND(A102&lt;&gt;"",Procedura!$B$10&lt;&gt;"Lavori",AC102=7,B102=Procedura!$B$28),"DEC DEVE ESSERE DIVERSO DAL RUP",IF(AND(ISNUMBER(D102),OR(OR(AND(Procedura!$B$10="Lavori",AC102=10),AND(Procedura!$B$10&lt;&gt;"Lavori",AC102=2)),IF(Procedura!$B$10="Lavori",OR(AC102=3,AC102=13),AC102=5)),ABS(E102-IF(IF(Procedura!$B$10="Lavori",OR(AC102=3,AC102=13),AC102=5),1,IF(Procedura!$B$29="No",1,IF(C102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FISSO",IF(AND(A102="",B102=""),"",IF(OR(A102="",B102="",C102=""),"COMPLETARE VOCE PERSONA RUOLO",IF(COUNTIFS($AA$6:$AA$105,AA102)&gt;1,"PERSONA RIPETUTA NELLA VOCE",IF(INDEX(Voci!$F$6:$F$24,MATCH(A102,Voci!$A$6:$A$24,0))&lt;&gt;"Interna","VOCE NON INTERNA",IF(OR(AND(C102="RUP",B102&lt;&gt;Procedura!$B$28),AND(C102="Responsabile fase",OR(Procedura!$B$29&lt;&gt;"Si",B102&lt;&gt;Procedura!$B$30)),AND(OR(OR(AND(Procedura!$B$10="Lavori",AC102=10),AND(Procedura!$B$10&lt;&gt;"Lavori",AC102=2)),IF(Procedura!$B$10="Lavori",OR(AC102=3,AC102=13),AC102=5)),NOT(OR(C102="RUP",AND(OR(AND(Procedura!$B$10="Lavori",AC102=10),AND(Procedura!$B$10&lt;&gt;"Lavori",AC102=2)),C102="Responsabile fase",Procedura!$B$29="Si")))),AND(IF(Procedura!$B$10="Lavori",OR(AC102=4,AC102=11,AC102=14),OR(AC102=3,AC102=6)),NOT(OR(C102="Supporto",C102="Altro",C102="Responsabile fase")))),"RUOLO NON COERENTE",IF(AND(IF(Procedura!$B$10="Lavori",OR(AC102=4,AC102=11,AC102=14),OR(AC102=3,AC102=6)),B102=Procedura!$B$28),"RUP E COLLABORAZIONE INCOMPATIBILI",IF(AND(AG102&gt;0,AG102&lt;&gt;AF102),"PESI MANUALI SOLO SU ALCUNE RIGHE",IF(AND(J102&gt;0,NOT(AND(Procedura!$B$10="Lavori",OR(AC102=5,AC102=6)))),"RITARDO PROGETTAZIONE NON PERTINENTE",IF(AND(M102&gt;0,M102&lt;5%),"CARENZE INFERIORI AL 5%",IF(AND(OR(J102&gt;0,K102&gt;0,L102&gt;0,M102&gt;0,I102="Si"),N102=""),"MOTIVARE ESCLUSIONE O RIDUZIONE",IF(AND(G102&gt;0,H102="Da verificare"),"ATTESTAZIONE DA ACQUISIRE",IF(AND(G102&gt;0,H102="Si",N102=""),"INDICARE ATTI ATTIVITA","COERENTE"))))))))))))))</f>
        <v/>
      </c>
      <c r="AA102" s="2" t="str">
        <f t="shared" si="39"/>
        <v/>
      </c>
      <c r="AB102" s="2" t="str">
        <f>IF(A102="","",INDEX(Voci!$C$6:$C$24,MATCH(A102,Voci!$A$6:$A$24,0)))</f>
        <v/>
      </c>
      <c r="AC102" s="2">
        <f>IF(A102="",0,INDEX(Voci!$B$6:$B$24,MATCH(A102,Voci!$A$6:$A$24,0)))</f>
        <v>0</v>
      </c>
      <c r="AD102" s="2">
        <f t="shared" si="40"/>
        <v>0</v>
      </c>
      <c r="AE102" s="2">
        <f t="shared" si="41"/>
        <v>0</v>
      </c>
      <c r="AF102" s="2">
        <f t="shared" si="42"/>
        <v>0</v>
      </c>
      <c r="AG102" s="2">
        <f t="shared" si="43"/>
        <v>0</v>
      </c>
      <c r="AH102">
        <f t="shared" si="44"/>
        <v>0</v>
      </c>
    </row>
    <row r="103" spans="1:34" ht="24" customHeight="1">
      <c r="A103" s="5"/>
      <c r="B103" s="5"/>
      <c r="C103" s="5"/>
      <c r="D103" s="8"/>
      <c r="E103" s="10">
        <f>IF(OR(A103="",B103=""),0,IF(ISNUMBER(D103),D103,IF(OR(AND(Procedura!$B$10="Lavori",AC103=10),AND(Procedura!$B$10&lt;&gt;"Lavori",AC103=2)),IF(Procedura!$B$29="Si",IF(C103="RUP",IF(Procedura!$B$10="Lavori",20%,IF(Voci!$M$7&gt;0,(Voci!$J$7*(1-Procedura!$B$39)+(Voci!$J$7*Procedura!$B$39-Voci!$L$7)*20%)/Voci!$M$7,0)),IF(C103="Responsabile fase",IF(Procedura!$B$10="Lavori",80%,IF(Voci!$M$7&gt;0,(Voci!$J$7*Procedura!$B$39-Voci!$L$7)*80%/Voci!$M$7,0)),0)),IF(C103="RUP",1,0)),IF(IF(Procedura!$B$10="Lavori",OR(AC103=3,AC103=13),AC103=5),IF(C103="RUP",1,0),IF(IF(Procedura!$B$10="Lavori",OR(AC103=4,AC103=11,AC103=14),OR(AC103=3,AC103=6)),IF(AND(AD103&gt;0,AE103&gt;0),IF(OR(C103="Supporto",C103="Responsabile fase"),60%/AD103,IF(C103="Altro",40%/AE103,0)),IF(AF103&gt;0,1/AF103,0)),IF(AF103&gt;0,1/AF103,0))))))</f>
        <v>0</v>
      </c>
      <c r="F103" s="11">
        <f>IF(A103="",0,INDEX(Voci!$M$6:$M$24,MATCH(A103,Voci!$A$6:$A$24,0))*E103)</f>
        <v>0</v>
      </c>
      <c r="G103" s="11">
        <f>IF(A103="",0,INDEX(Voci!$O$6:$O$24,MATCH(A103,Voci!$A$6:$A$24,0))*E103)</f>
        <v>0</v>
      </c>
      <c r="H103" s="5" t="s">
        <v>60</v>
      </c>
      <c r="I103" s="5" t="s">
        <v>67</v>
      </c>
      <c r="J103" s="8">
        <v>0</v>
      </c>
      <c r="K103" s="8">
        <v>0</v>
      </c>
      <c r="L103" s="8">
        <v>0</v>
      </c>
      <c r="M103" s="8">
        <v>0</v>
      </c>
      <c r="N103" s="5"/>
      <c r="O103" s="10">
        <f t="shared" si="30"/>
        <v>0</v>
      </c>
      <c r="P103" s="10">
        <f t="shared" si="31"/>
        <v>0</v>
      </c>
      <c r="Q103" s="10">
        <f t="shared" si="32"/>
        <v>0</v>
      </c>
      <c r="R103" s="10">
        <f t="shared" si="45"/>
        <v>0</v>
      </c>
      <c r="S103" s="11">
        <f t="shared" si="46"/>
        <v>0</v>
      </c>
      <c r="T103" s="11">
        <f t="shared" si="35"/>
        <v>0</v>
      </c>
      <c r="U103" s="11">
        <f t="shared" si="36"/>
        <v>0</v>
      </c>
      <c r="V103" s="10">
        <f>IF(B103="",0,INDEX(Personale!$F$6:$F$25,MATCH(B103,Personale!$A$6:$A$25,0)))</f>
        <v>0</v>
      </c>
      <c r="W103" s="11">
        <f t="shared" si="47"/>
        <v>0</v>
      </c>
      <c r="X103" s="11">
        <f t="shared" si="48"/>
        <v>0</v>
      </c>
      <c r="Y103" s="11">
        <f>IF(B103="",0,W103*INDEX(Personale!$G$6:$G$25,MATCH(B103,Personale!$A$6:$A$25,0)))</f>
        <v>0</v>
      </c>
      <c r="Z103" s="2" t="str">
        <f>IF(AND(A103&lt;&gt;"",Procedura!$B$10&lt;&gt;"Lavori",AC103=7,B103=Procedura!$B$28),"DEC DEVE ESSERE DIVERSO DAL RUP",IF(AND(ISNUMBER(D103),OR(OR(AND(Procedura!$B$10="Lavori",AC103=10),AND(Procedura!$B$10&lt;&gt;"Lavori",AC103=2)),IF(Procedura!$B$10="Lavori",OR(AC103=3,AC103=13),AC103=5)),ABS(E103-IF(IF(Procedura!$B$10="Lavori",OR(AC103=3,AC103=13),AC103=5),1,IF(Procedura!$B$29="No",1,IF(C103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FISSO",IF(AND(A103="",B103=""),"",IF(OR(A103="",B103="",C103=""),"COMPLETARE VOCE PERSONA RUOLO",IF(COUNTIFS($AA$6:$AA$105,AA103)&gt;1,"PERSONA RIPETUTA NELLA VOCE",IF(INDEX(Voci!$F$6:$F$24,MATCH(A103,Voci!$A$6:$A$24,0))&lt;&gt;"Interna","VOCE NON INTERNA",IF(OR(AND(C103="RUP",B103&lt;&gt;Procedura!$B$28),AND(C103="Responsabile fase",OR(Procedura!$B$29&lt;&gt;"Si",B103&lt;&gt;Procedura!$B$30)),AND(OR(OR(AND(Procedura!$B$10="Lavori",AC103=10),AND(Procedura!$B$10&lt;&gt;"Lavori",AC103=2)),IF(Procedura!$B$10="Lavori",OR(AC103=3,AC103=13),AC103=5)),NOT(OR(C103="RUP",AND(OR(AND(Procedura!$B$10="Lavori",AC103=10),AND(Procedura!$B$10&lt;&gt;"Lavori",AC103=2)),C103="Responsabile fase",Procedura!$B$29="Si")))),AND(IF(Procedura!$B$10="Lavori",OR(AC103=4,AC103=11,AC103=14),OR(AC103=3,AC103=6)),NOT(OR(C103="Supporto",C103="Altro",C103="Responsabile fase")))),"RUOLO NON COERENTE",IF(AND(IF(Procedura!$B$10="Lavori",OR(AC103=4,AC103=11,AC103=14),OR(AC103=3,AC103=6)),B103=Procedura!$B$28),"RUP E COLLABORAZIONE INCOMPATIBILI",IF(AND(AG103&gt;0,AG103&lt;&gt;AF103),"PESI MANUALI SOLO SU ALCUNE RIGHE",IF(AND(J103&gt;0,NOT(AND(Procedura!$B$10="Lavori",OR(AC103=5,AC103=6)))),"RITARDO PROGETTAZIONE NON PERTINENTE",IF(AND(M103&gt;0,M103&lt;5%),"CARENZE INFERIORI AL 5%",IF(AND(OR(J103&gt;0,K103&gt;0,L103&gt;0,M103&gt;0,I103="Si"),N103=""),"MOTIVARE ESCLUSIONE O RIDUZIONE",IF(AND(G103&gt;0,H103="Da verificare"),"ATTESTAZIONE DA ACQUISIRE",IF(AND(G103&gt;0,H103="Si",N103=""),"INDICARE ATTI ATTIVITA","COERENTE"))))))))))))))</f>
        <v/>
      </c>
      <c r="AA103" s="2" t="str">
        <f t="shared" si="39"/>
        <v/>
      </c>
      <c r="AB103" s="2" t="str">
        <f>IF(A103="","",INDEX(Voci!$C$6:$C$24,MATCH(A103,Voci!$A$6:$A$24,0)))</f>
        <v/>
      </c>
      <c r="AC103" s="2">
        <f>IF(A103="",0,INDEX(Voci!$B$6:$B$24,MATCH(A103,Voci!$A$6:$A$24,0)))</f>
        <v>0</v>
      </c>
      <c r="AD103" s="2">
        <f t="shared" si="40"/>
        <v>0</v>
      </c>
      <c r="AE103" s="2">
        <f t="shared" si="41"/>
        <v>0</v>
      </c>
      <c r="AF103" s="2">
        <f t="shared" si="42"/>
        <v>0</v>
      </c>
      <c r="AG103" s="2">
        <f t="shared" si="43"/>
        <v>0</v>
      </c>
      <c r="AH103">
        <f t="shared" si="44"/>
        <v>0</v>
      </c>
    </row>
    <row r="104" spans="1:34" ht="24" customHeight="1">
      <c r="A104" s="5"/>
      <c r="B104" s="5"/>
      <c r="C104" s="5"/>
      <c r="D104" s="8"/>
      <c r="E104" s="10">
        <f>IF(OR(A104="",B104=""),0,IF(ISNUMBER(D104),D104,IF(OR(AND(Procedura!$B$10="Lavori",AC104=10),AND(Procedura!$B$10&lt;&gt;"Lavori",AC104=2)),IF(Procedura!$B$29="Si",IF(C104="RUP",IF(Procedura!$B$10="Lavori",20%,IF(Voci!$M$7&gt;0,(Voci!$J$7*(1-Procedura!$B$39)+(Voci!$J$7*Procedura!$B$39-Voci!$L$7)*20%)/Voci!$M$7,0)),IF(C104="Responsabile fase",IF(Procedura!$B$10="Lavori",80%,IF(Voci!$M$7&gt;0,(Voci!$J$7*Procedura!$B$39-Voci!$L$7)*80%/Voci!$M$7,0)),0)),IF(C104="RUP",1,0)),IF(IF(Procedura!$B$10="Lavori",OR(AC104=3,AC104=13),AC104=5),IF(C104="RUP",1,0),IF(IF(Procedura!$B$10="Lavori",OR(AC104=4,AC104=11,AC104=14),OR(AC104=3,AC104=6)),IF(AND(AD104&gt;0,AE104&gt;0),IF(OR(C104="Supporto",C104="Responsabile fase"),60%/AD104,IF(C104="Altro",40%/AE104,0)),IF(AF104&gt;0,1/AF104,0)),IF(AF104&gt;0,1/AF104,0))))))</f>
        <v>0</v>
      </c>
      <c r="F104" s="11">
        <f>IF(A104="",0,INDEX(Voci!$M$6:$M$24,MATCH(A104,Voci!$A$6:$A$24,0))*E104)</f>
        <v>0</v>
      </c>
      <c r="G104" s="11">
        <f>IF(A104="",0,INDEX(Voci!$O$6:$O$24,MATCH(A104,Voci!$A$6:$A$24,0))*E104)</f>
        <v>0</v>
      </c>
      <c r="H104" s="5" t="s">
        <v>60</v>
      </c>
      <c r="I104" s="5" t="s">
        <v>67</v>
      </c>
      <c r="J104" s="8">
        <v>0</v>
      </c>
      <c r="K104" s="8">
        <v>0</v>
      </c>
      <c r="L104" s="8">
        <v>0</v>
      </c>
      <c r="M104" s="8">
        <v>0</v>
      </c>
      <c r="N104" s="5"/>
      <c r="O104" s="10">
        <f t="shared" si="30"/>
        <v>0</v>
      </c>
      <c r="P104" s="10">
        <f t="shared" si="31"/>
        <v>0</v>
      </c>
      <c r="Q104" s="10">
        <f t="shared" si="32"/>
        <v>0</v>
      </c>
      <c r="R104" s="10">
        <f t="shared" si="45"/>
        <v>0</v>
      </c>
      <c r="S104" s="11">
        <f t="shared" si="46"/>
        <v>0</v>
      </c>
      <c r="T104" s="11">
        <f t="shared" si="35"/>
        <v>0</v>
      </c>
      <c r="U104" s="11">
        <f t="shared" si="36"/>
        <v>0</v>
      </c>
      <c r="V104" s="10">
        <f>IF(B104="",0,INDEX(Personale!$F$6:$F$25,MATCH(B104,Personale!$A$6:$A$25,0)))</f>
        <v>0</v>
      </c>
      <c r="W104" s="11">
        <f t="shared" si="47"/>
        <v>0</v>
      </c>
      <c r="X104" s="11">
        <f t="shared" si="48"/>
        <v>0</v>
      </c>
      <c r="Y104" s="11">
        <f>IF(B104="",0,W104*INDEX(Personale!$G$6:$G$25,MATCH(B104,Personale!$A$6:$A$25,0)))</f>
        <v>0</v>
      </c>
      <c r="Z104" s="2" t="str">
        <f>IF(AND(A104&lt;&gt;"",Procedura!$B$10&lt;&gt;"Lavori",AC104=7,B104=Procedura!$B$28),"DEC DEVE ESSERE DIVERSO DAL RUP",IF(AND(ISNUMBER(D104),OR(OR(AND(Procedura!$B$10="Lavori",AC104=10),AND(Procedura!$B$10&lt;&gt;"Lavori",AC104=2)),IF(Procedura!$B$10="Lavori",OR(AC104=3,AC104=13),AC104=5)),ABS(E104-IF(IF(Procedura!$B$10="Lavori",OR(AC104=3,AC104=13),AC104=5),1,IF(Procedura!$B$29="No",1,IF(C104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FISSO",IF(AND(A104="",B104=""),"",IF(OR(A104="",B104="",C104=""),"COMPLETARE VOCE PERSONA RUOLO",IF(COUNTIFS($AA$6:$AA$105,AA104)&gt;1,"PERSONA RIPETUTA NELLA VOCE",IF(INDEX(Voci!$F$6:$F$24,MATCH(A104,Voci!$A$6:$A$24,0))&lt;&gt;"Interna","VOCE NON INTERNA",IF(OR(AND(C104="RUP",B104&lt;&gt;Procedura!$B$28),AND(C104="Responsabile fase",OR(Procedura!$B$29&lt;&gt;"Si",B104&lt;&gt;Procedura!$B$30)),AND(OR(OR(AND(Procedura!$B$10="Lavori",AC104=10),AND(Procedura!$B$10&lt;&gt;"Lavori",AC104=2)),IF(Procedura!$B$10="Lavori",OR(AC104=3,AC104=13),AC104=5)),NOT(OR(C104="RUP",AND(OR(AND(Procedura!$B$10="Lavori",AC104=10),AND(Procedura!$B$10&lt;&gt;"Lavori",AC104=2)),C104="Responsabile fase",Procedura!$B$29="Si")))),AND(IF(Procedura!$B$10="Lavori",OR(AC104=4,AC104=11,AC104=14),OR(AC104=3,AC104=6)),NOT(OR(C104="Supporto",C104="Altro",C104="Responsabile fase")))),"RUOLO NON COERENTE",IF(AND(IF(Procedura!$B$10="Lavori",OR(AC104=4,AC104=11,AC104=14),OR(AC104=3,AC104=6)),B104=Procedura!$B$28),"RUP E COLLABORAZIONE INCOMPATIBILI",IF(AND(AG104&gt;0,AG104&lt;&gt;AF104),"PESI MANUALI SOLO SU ALCUNE RIGHE",IF(AND(J104&gt;0,NOT(AND(Procedura!$B$10="Lavori",OR(AC104=5,AC104=6)))),"RITARDO PROGETTAZIONE NON PERTINENTE",IF(AND(M104&gt;0,M104&lt;5%),"CARENZE INFERIORI AL 5%",IF(AND(OR(J104&gt;0,K104&gt;0,L104&gt;0,M104&gt;0,I104="Si"),N104=""),"MOTIVARE ESCLUSIONE O RIDUZIONE",IF(AND(G104&gt;0,H104="Da verificare"),"ATTESTAZIONE DA ACQUISIRE",IF(AND(G104&gt;0,H104="Si",N104=""),"INDICARE ATTI ATTIVITA","COERENTE"))))))))))))))</f>
        <v/>
      </c>
      <c r="AA104" s="2" t="str">
        <f t="shared" si="39"/>
        <v/>
      </c>
      <c r="AB104" s="2" t="str">
        <f>IF(A104="","",INDEX(Voci!$C$6:$C$24,MATCH(A104,Voci!$A$6:$A$24,0)))</f>
        <v/>
      </c>
      <c r="AC104" s="2">
        <f>IF(A104="",0,INDEX(Voci!$B$6:$B$24,MATCH(A104,Voci!$A$6:$A$24,0)))</f>
        <v>0</v>
      </c>
      <c r="AD104" s="2">
        <f t="shared" si="40"/>
        <v>0</v>
      </c>
      <c r="AE104" s="2">
        <f t="shared" si="41"/>
        <v>0</v>
      </c>
      <c r="AF104" s="2">
        <f t="shared" si="42"/>
        <v>0</v>
      </c>
      <c r="AG104" s="2">
        <f t="shared" si="43"/>
        <v>0</v>
      </c>
      <c r="AH104">
        <f t="shared" si="44"/>
        <v>0</v>
      </c>
    </row>
    <row r="105" spans="1:34" ht="24" customHeight="1">
      <c r="A105" s="5"/>
      <c r="B105" s="5"/>
      <c r="C105" s="5"/>
      <c r="D105" s="8"/>
      <c r="E105" s="10">
        <f>IF(OR(A105="",B105=""),0,IF(ISNUMBER(D105),D105,IF(OR(AND(Procedura!$B$10="Lavori",AC105=10),AND(Procedura!$B$10&lt;&gt;"Lavori",AC105=2)),IF(Procedura!$B$29="Si",IF(C105="RUP",IF(Procedura!$B$10="Lavori",20%,IF(Voci!$M$7&gt;0,(Voci!$J$7*(1-Procedura!$B$39)+(Voci!$J$7*Procedura!$B$39-Voci!$L$7)*20%)/Voci!$M$7,0)),IF(C105="Responsabile fase",IF(Procedura!$B$10="Lavori",80%,IF(Voci!$M$7&gt;0,(Voci!$J$7*Procedura!$B$39-Voci!$L$7)*80%/Voci!$M$7,0)),0)),IF(C105="RUP",1,0)),IF(IF(Procedura!$B$10="Lavori",OR(AC105=3,AC105=13),AC105=5),IF(C105="RUP",1,0),IF(IF(Procedura!$B$10="Lavori",OR(AC105=4,AC105=11,AC105=14),OR(AC105=3,AC105=6)),IF(AND(AD105&gt;0,AE105&gt;0),IF(OR(C105="Supporto",C105="Responsabile fase"),60%/AD105,IF(C105="Altro",40%/AE105,0)),IF(AF105&gt;0,1/AF105,0)),IF(AF105&gt;0,1/AF105,0))))))</f>
        <v>0</v>
      </c>
      <c r="F105" s="11">
        <f>IF(A105="",0,INDEX(Voci!$M$6:$M$24,MATCH(A105,Voci!$A$6:$A$24,0))*E105)</f>
        <v>0</v>
      </c>
      <c r="G105" s="11">
        <f>IF(A105="",0,INDEX(Voci!$O$6:$O$24,MATCH(A105,Voci!$A$6:$A$24,0))*E105)</f>
        <v>0</v>
      </c>
      <c r="H105" s="5" t="s">
        <v>60</v>
      </c>
      <c r="I105" s="5" t="s">
        <v>67</v>
      </c>
      <c r="J105" s="8">
        <v>0</v>
      </c>
      <c r="K105" s="8">
        <v>0</v>
      </c>
      <c r="L105" s="8">
        <v>0</v>
      </c>
      <c r="M105" s="8">
        <v>0</v>
      </c>
      <c r="N105" s="5"/>
      <c r="O105" s="10">
        <f t="shared" si="30"/>
        <v>0</v>
      </c>
      <c r="P105" s="10">
        <f t="shared" si="31"/>
        <v>0</v>
      </c>
      <c r="Q105" s="10">
        <f t="shared" si="32"/>
        <v>0</v>
      </c>
      <c r="R105" s="10">
        <f t="shared" si="45"/>
        <v>0</v>
      </c>
      <c r="S105" s="11">
        <f t="shared" si="46"/>
        <v>0</v>
      </c>
      <c r="T105" s="11">
        <f t="shared" si="35"/>
        <v>0</v>
      </c>
      <c r="U105" s="11">
        <f t="shared" si="36"/>
        <v>0</v>
      </c>
      <c r="V105" s="10">
        <f>IF(B105="",0,INDEX(Personale!$F$6:$F$25,MATCH(B105,Personale!$A$6:$A$25,0)))</f>
        <v>0</v>
      </c>
      <c r="W105" s="11">
        <f t="shared" si="47"/>
        <v>0</v>
      </c>
      <c r="X105" s="11">
        <f t="shared" si="48"/>
        <v>0</v>
      </c>
      <c r="Y105" s="11">
        <f>IF(B105="",0,W105*INDEX(Personale!$G$6:$G$25,MATCH(B105,Personale!$A$6:$A$25,0)))</f>
        <v>0</v>
      </c>
      <c r="Z105" s="2" t="str">
        <f>IF(AND(A105&lt;&gt;"",Procedura!$B$10&lt;&gt;"Lavori",AC105=7,B105=Procedura!$B$28),"DEC DEVE ESSERE DIVERSO DAL RUP",IF(AND(ISNUMBER(D105),OR(OR(AND(Procedura!$B$10="Lavori",AC105=10),AND(Procedura!$B$10&lt;&gt;"Lavori",AC105=2)),IF(Procedura!$B$10="Lavori",OR(AC105=3,AC105=13),AC105=5)),ABS(E105-IF(IF(Procedura!$B$10="Lavori",OR(AC105=3,AC105=13),AC105=5),1,IF(Procedura!$B$29="No",1,IF(C105="RUP",IF(Procedura!$B$10="Lavori",20%,IF(Voci!$M$7&gt;0,(Voci!$J$7*(1-Procedura!$B$39)+(Voci!$J$7*Procedura!$B$39-Voci!$L$7)*20%)/Voci!$M$7,0)),IF(Procedura!$B$10="Lavori",80%,IF(Voci!$M$7&gt;0,(Voci!$J$7*Procedura!$B$39-Voci!$L$7)*80%/Voci!$M$7,0))))))&gt;0.000001),"PESO MANUALE ALTERA RIPARTO RUP FISSO",IF(AND(A105="",B105=""),"",IF(OR(A105="",B105="",C105=""),"COMPLETARE VOCE PERSONA RUOLO",IF(COUNTIFS($AA$6:$AA$105,AA105)&gt;1,"PERSONA RIPETUTA NELLA VOCE",IF(INDEX(Voci!$F$6:$F$24,MATCH(A105,Voci!$A$6:$A$24,0))&lt;&gt;"Interna","VOCE NON INTERNA",IF(OR(AND(C105="RUP",B105&lt;&gt;Procedura!$B$28),AND(C105="Responsabile fase",OR(Procedura!$B$29&lt;&gt;"Si",B105&lt;&gt;Procedura!$B$30)),AND(OR(OR(AND(Procedura!$B$10="Lavori",AC105=10),AND(Procedura!$B$10&lt;&gt;"Lavori",AC105=2)),IF(Procedura!$B$10="Lavori",OR(AC105=3,AC105=13),AC105=5)),NOT(OR(C105="RUP",AND(OR(AND(Procedura!$B$10="Lavori",AC105=10),AND(Procedura!$B$10&lt;&gt;"Lavori",AC105=2)),C105="Responsabile fase",Procedura!$B$29="Si")))),AND(IF(Procedura!$B$10="Lavori",OR(AC105=4,AC105=11,AC105=14),OR(AC105=3,AC105=6)),NOT(OR(C105="Supporto",C105="Altro",C105="Responsabile fase")))),"RUOLO NON COERENTE",IF(AND(IF(Procedura!$B$10="Lavori",OR(AC105=4,AC105=11,AC105=14),OR(AC105=3,AC105=6)),B105=Procedura!$B$28),"RUP E COLLABORAZIONE INCOMPATIBILI",IF(AND(AG105&gt;0,AG105&lt;&gt;AF105),"PESI MANUALI SOLO SU ALCUNE RIGHE",IF(AND(J105&gt;0,NOT(AND(Procedura!$B$10="Lavori",OR(AC105=5,AC105=6)))),"RITARDO PROGETTAZIONE NON PERTINENTE",IF(AND(M105&gt;0,M105&lt;5%),"CARENZE INFERIORI AL 5%",IF(AND(OR(J105&gt;0,K105&gt;0,L105&gt;0,M105&gt;0,I105="Si"),N105=""),"MOTIVARE ESCLUSIONE O RIDUZIONE",IF(AND(G105&gt;0,H105="Da verificare"),"ATTESTAZIONE DA ACQUISIRE",IF(AND(G105&gt;0,H105="Si",N105=""),"INDICARE ATTI ATTIVITA","COERENTE"))))))))))))))</f>
        <v/>
      </c>
      <c r="AA105" s="2" t="str">
        <f t="shared" si="39"/>
        <v/>
      </c>
      <c r="AB105" s="2" t="str">
        <f>IF(A105="","",INDEX(Voci!$C$6:$C$24,MATCH(A105,Voci!$A$6:$A$24,0)))</f>
        <v/>
      </c>
      <c r="AC105" s="2">
        <f>IF(A105="",0,INDEX(Voci!$B$6:$B$24,MATCH(A105,Voci!$A$6:$A$24,0)))</f>
        <v>0</v>
      </c>
      <c r="AD105" s="2">
        <f t="shared" si="40"/>
        <v>0</v>
      </c>
      <c r="AE105" s="2">
        <f t="shared" si="41"/>
        <v>0</v>
      </c>
      <c r="AF105" s="2">
        <f t="shared" si="42"/>
        <v>0</v>
      </c>
      <c r="AG105" s="2">
        <f t="shared" si="43"/>
        <v>0</v>
      </c>
      <c r="AH105">
        <f t="shared" si="44"/>
        <v>0</v>
      </c>
    </row>
    <row r="106" spans="1:34" ht="24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4" ht="24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4" ht="24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</row>
  </sheetData>
  <conditionalFormatting sqref="Z6:Z105">
    <cfRule type="expression" dxfId="1" priority="1">
      <formula>AND(Z6&lt;&gt;"",Z6&lt;&gt;"COERENTE")</formula>
    </cfRule>
  </conditionalFormatting>
  <dataValidations count="7">
    <dataValidation type="list" sqref="A6:A105" xr:uid="{00000000-0002-0000-0400-000000000000}">
      <formula1>INDIRECT("Voci!$A$6:$A$24")</formula1>
    </dataValidation>
    <dataValidation type="list" sqref="B6:B105" xr:uid="{00000000-0002-0000-0400-000001000000}">
      <formula1>INDIRECT("Personale!$A$6:$A$25")</formula1>
    </dataValidation>
    <dataValidation type="list" sqref="C6:C105" xr:uid="{00000000-0002-0000-0400-000002000000}">
      <formula1>"RUP,Responsabile fase,Supporto,Altro,Unico"</formula1>
    </dataValidation>
    <dataValidation type="list" sqref="H6:H105" xr:uid="{00000000-0002-0000-0400-000003000000}">
      <formula1>"Da verificare,Si,No"</formula1>
    </dataValidation>
    <dataValidation type="list" sqref="I6:I105" xr:uid="{00000000-0002-0000-0400-000004000000}">
      <formula1>"Si,No"</formula1>
    </dataValidation>
    <dataValidation type="decimal" sqref="D6:D105 M6:M105" xr:uid="{00000000-0002-0000-0400-000005000000}">
      <formula1>0</formula1>
      <formula2>1</formula2>
    </dataValidation>
    <dataValidation type="decimal" sqref="J6:L105" xr:uid="{00000000-0002-0000-0400-000006000000}">
      <formula1>0</formula1>
      <formula2>100</formula2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5"/>
  <sheetViews>
    <sheetView showGridLines="0" workbookViewId="0">
      <pane ySplit="5" topLeftCell="A17" activePane="bottomLeft" state="frozen"/>
      <selection pane="bottomLeft"/>
    </sheetView>
  </sheetViews>
  <sheetFormatPr defaultRowHeight="14.25"/>
  <cols>
    <col min="1" max="1" width="55" customWidth="1"/>
    <col min="2" max="2" width="24" customWidth="1"/>
    <col min="3" max="3" width="100" customWidth="1"/>
  </cols>
  <sheetData>
    <row r="1" spans="1:4" ht="24" customHeight="1">
      <c r="A1" s="2"/>
      <c r="B1" s="2"/>
      <c r="C1" s="2"/>
      <c r="D1" s="2"/>
    </row>
    <row r="2" spans="1:4" ht="24" customHeight="1">
      <c r="A2" s="3" t="s">
        <v>256</v>
      </c>
      <c r="B2" s="2"/>
      <c r="C2" s="2"/>
      <c r="D2" s="2"/>
    </row>
    <row r="3" spans="1:4" ht="24" customHeight="1">
      <c r="A3" s="4" t="s">
        <v>1</v>
      </c>
      <c r="B3" s="2"/>
      <c r="C3" s="2"/>
      <c r="D3" s="2"/>
    </row>
    <row r="4" spans="1:4" ht="24" customHeight="1">
      <c r="A4" s="2"/>
      <c r="B4" s="2"/>
      <c r="C4" s="2"/>
      <c r="D4" s="2"/>
    </row>
    <row r="5" spans="1:4" ht="44.1" customHeight="1">
      <c r="A5" s="9" t="s">
        <v>257</v>
      </c>
      <c r="B5" s="9" t="s">
        <v>258</v>
      </c>
      <c r="C5" s="9" t="s">
        <v>259</v>
      </c>
      <c r="D5" s="2"/>
    </row>
    <row r="6" spans="1:4" ht="39.950000000000003" customHeight="1">
      <c r="A6" s="2" t="s">
        <v>260</v>
      </c>
      <c r="B6" s="2" t="str">
        <f>Procedura!B54</f>
        <v>INSERIRE BASE</v>
      </c>
      <c r="C6" s="6" t="s">
        <v>261</v>
      </c>
      <c r="D6" s="2"/>
    </row>
    <row r="7" spans="1:4" ht="39.950000000000003" customHeight="1">
      <c r="A7" s="2" t="s">
        <v>133</v>
      </c>
      <c r="B7" s="2" t="str">
        <f>Procedura!B62</f>
        <v>DA COMPLETARE</v>
      </c>
      <c r="C7" s="6" t="s">
        <v>262</v>
      </c>
      <c r="D7" s="2"/>
    </row>
    <row r="8" spans="1:4" ht="39.950000000000003" customHeight="1">
      <c r="A8" s="2" t="s">
        <v>263</v>
      </c>
      <c r="B8" s="2">
        <f>SUM(Voci!T6:T24)</f>
        <v>19</v>
      </c>
      <c r="C8" s="6" t="s">
        <v>264</v>
      </c>
      <c r="D8" s="2"/>
    </row>
    <row r="9" spans="1:4" ht="39.950000000000003" customHeight="1">
      <c r="A9" s="2" t="s">
        <v>265</v>
      </c>
      <c r="B9" s="2">
        <f>SUM(Riparto!AH6:AH105)</f>
        <v>0</v>
      </c>
      <c r="C9" s="6" t="s">
        <v>266</v>
      </c>
      <c r="D9" s="2"/>
    </row>
    <row r="10" spans="1:4" ht="39.950000000000003" customHeight="1">
      <c r="A10" s="2" t="s">
        <v>267</v>
      </c>
      <c r="B10" s="2">
        <f>SUM(Personale!V6:V25)</f>
        <v>0</v>
      </c>
      <c r="C10" s="6" t="s">
        <v>268</v>
      </c>
      <c r="D10" s="2"/>
    </row>
    <row r="11" spans="1:4" ht="39.950000000000003" customHeight="1">
      <c r="A11" s="2" t="s">
        <v>269</v>
      </c>
      <c r="B11" s="2">
        <f>Procedura!B61</f>
        <v>0</v>
      </c>
      <c r="C11" s="6" t="s">
        <v>270</v>
      </c>
      <c r="D11" s="2"/>
    </row>
    <row r="12" spans="1:4" ht="39.950000000000003" customHeight="1">
      <c r="A12" s="2" t="s">
        <v>271</v>
      </c>
      <c r="B12" s="2">
        <f>Riepilogo!B17</f>
        <v>0</v>
      </c>
      <c r="C12" s="6" t="s">
        <v>272</v>
      </c>
      <c r="D12" s="2"/>
    </row>
    <row r="13" spans="1:4" ht="39.950000000000003" customHeight="1">
      <c r="A13" s="2" t="s">
        <v>273</v>
      </c>
      <c r="B13" s="2">
        <f>SUM(Personale!R6:R25)</f>
        <v>0</v>
      </c>
      <c r="C13" s="6" t="s">
        <v>274</v>
      </c>
      <c r="D13" s="2"/>
    </row>
    <row r="14" spans="1:4" ht="39.950000000000003" customHeight="1">
      <c r="A14" s="2" t="s">
        <v>275</v>
      </c>
      <c r="B14" s="2">
        <f>SUM(Personale!O6:O25)</f>
        <v>0</v>
      </c>
      <c r="C14" s="6" t="s">
        <v>276</v>
      </c>
      <c r="D14" s="2"/>
    </row>
    <row r="15" spans="1:4" ht="39.950000000000003" customHeight="1">
      <c r="A15" s="2" t="s">
        <v>277</v>
      </c>
      <c r="B15" s="2">
        <f>IF(AND(Procedura!B29="Si",Procedura!B28=Procedura!B30),1,0)</f>
        <v>0</v>
      </c>
      <c r="C15" s="6" t="s">
        <v>278</v>
      </c>
      <c r="D15" s="2"/>
    </row>
    <row r="16" spans="1:4" ht="39.950000000000003" customHeight="1">
      <c r="A16" s="2" t="s">
        <v>279</v>
      </c>
      <c r="B16" s="2">
        <f>IF(AND(Procedura!B10="Lavori",Procedura!B31&lt;&gt;"Si",Voci!F14="Interna"),1,0)</f>
        <v>0</v>
      </c>
      <c r="C16" s="6" t="s">
        <v>280</v>
      </c>
      <c r="D16" s="2"/>
    </row>
    <row r="17" spans="1:4" ht="39.950000000000003" customHeight="1">
      <c r="A17" s="2" t="s">
        <v>281</v>
      </c>
      <c r="B17" s="2">
        <f>COUNTIFS(Personale!E6:E25,"Segretario")+COUNTIFS(Personale!E6:E25,"Dirigente")</f>
        <v>0</v>
      </c>
      <c r="C17" s="6" t="s">
        <v>282</v>
      </c>
      <c r="D17" s="2"/>
    </row>
    <row r="18" spans="1:4" ht="39.950000000000003" customHeight="1">
      <c r="A18" s="2" t="s">
        <v>283</v>
      </c>
      <c r="B18" s="2" t="s">
        <v>284</v>
      </c>
      <c r="C18" s="6" t="s">
        <v>285</v>
      </c>
      <c r="D18" s="2"/>
    </row>
    <row r="19" spans="1:4" ht="39.950000000000003" customHeight="1">
      <c r="A19" s="2" t="s">
        <v>286</v>
      </c>
      <c r="B19" s="2" t="s">
        <v>284</v>
      </c>
      <c r="C19" s="6" t="s">
        <v>287</v>
      </c>
      <c r="D19" s="2"/>
    </row>
    <row r="20" spans="1:4" ht="39.950000000000003" customHeight="1">
      <c r="A20" s="2" t="s">
        <v>288</v>
      </c>
      <c r="B20" s="2" t="s">
        <v>284</v>
      </c>
      <c r="C20" s="6" t="s">
        <v>289</v>
      </c>
      <c r="D20" s="2"/>
    </row>
    <row r="21" spans="1:4" ht="39.950000000000003" customHeight="1">
      <c r="A21" s="2" t="s">
        <v>290</v>
      </c>
      <c r="B21" s="2" t="s">
        <v>284</v>
      </c>
      <c r="C21" s="6" t="s">
        <v>291</v>
      </c>
      <c r="D21" s="2"/>
    </row>
    <row r="22" spans="1:4" ht="39.950000000000003" customHeight="1">
      <c r="A22" s="2" t="s">
        <v>292</v>
      </c>
      <c r="B22" s="2" t="s">
        <v>284</v>
      </c>
      <c r="C22" s="6" t="s">
        <v>293</v>
      </c>
      <c r="D22" s="2"/>
    </row>
    <row r="23" spans="1:4" ht="39.950000000000003" customHeight="1">
      <c r="A23" s="2" t="s">
        <v>294</v>
      </c>
      <c r="B23" s="2" t="s">
        <v>284</v>
      </c>
      <c r="C23" s="6" t="s">
        <v>295</v>
      </c>
      <c r="D23" s="2"/>
    </row>
    <row r="24" spans="1:4" ht="24" customHeight="1">
      <c r="A24" s="2"/>
      <c r="B24" s="2"/>
      <c r="C24" s="2"/>
      <c r="D24" s="2"/>
    </row>
    <row r="25" spans="1:4" ht="24" customHeight="1">
      <c r="A25" s="2"/>
      <c r="B25" s="2"/>
      <c r="C25" s="2"/>
      <c r="D25" s="2"/>
    </row>
    <row r="26" spans="1:4" ht="24" customHeight="1">
      <c r="A26" s="2"/>
      <c r="B26" s="2"/>
      <c r="C26" s="2"/>
      <c r="D26" s="2"/>
    </row>
    <row r="27" spans="1:4" ht="24" customHeight="1">
      <c r="A27" s="2"/>
      <c r="B27" s="2"/>
      <c r="C27" s="2"/>
      <c r="D27" s="2"/>
    </row>
    <row r="28" spans="1:4" ht="24" customHeight="1">
      <c r="A28" s="2"/>
      <c r="B28" s="2"/>
      <c r="C28" s="2"/>
      <c r="D28" s="2"/>
    </row>
    <row r="29" spans="1:4" ht="24" customHeight="1">
      <c r="A29" s="2"/>
      <c r="B29" s="2"/>
      <c r="C29" s="2"/>
      <c r="D29" s="2"/>
    </row>
    <row r="30" spans="1:4" ht="24" customHeight="1">
      <c r="A30" s="2"/>
      <c r="B30" s="2"/>
      <c r="C30" s="2"/>
      <c r="D30" s="2"/>
    </row>
    <row r="31" spans="1:4" ht="24" customHeight="1">
      <c r="A31" s="2"/>
      <c r="B31" s="2"/>
      <c r="C31" s="2"/>
      <c r="D31" s="2"/>
    </row>
    <row r="32" spans="1:4" ht="24" customHeight="1">
      <c r="A32" s="2"/>
      <c r="B32" s="2"/>
      <c r="C32" s="2"/>
      <c r="D32" s="2"/>
    </row>
    <row r="33" spans="1:4" ht="24" customHeight="1">
      <c r="A33" s="2"/>
      <c r="B33" s="2"/>
      <c r="C33" s="2"/>
      <c r="D33" s="2"/>
    </row>
    <row r="34" spans="1:4" ht="24" customHeight="1">
      <c r="A34" s="2"/>
      <c r="B34" s="2"/>
      <c r="C34" s="2"/>
      <c r="D34" s="2"/>
    </row>
    <row r="35" spans="1:4" ht="24" customHeight="1">
      <c r="A35" s="2"/>
      <c r="B35" s="2"/>
      <c r="C35" s="2"/>
      <c r="D35" s="2"/>
    </row>
    <row r="36" spans="1:4" ht="24" customHeight="1">
      <c r="A36" s="2"/>
      <c r="B36" s="2"/>
      <c r="C36" s="2"/>
      <c r="D36" s="2"/>
    </row>
    <row r="37" spans="1:4" ht="24" customHeight="1">
      <c r="A37" s="2"/>
      <c r="B37" s="2"/>
      <c r="C37" s="2"/>
      <c r="D37" s="2"/>
    </row>
    <row r="38" spans="1:4" ht="24" customHeight="1">
      <c r="A38" s="2"/>
      <c r="B38" s="2"/>
      <c r="C38" s="2"/>
      <c r="D38" s="2"/>
    </row>
    <row r="39" spans="1:4" ht="24" customHeight="1">
      <c r="A39" s="2"/>
      <c r="B39" s="2"/>
      <c r="C39" s="2"/>
      <c r="D39" s="2"/>
    </row>
    <row r="40" spans="1:4" ht="24" customHeight="1">
      <c r="A40" s="2"/>
      <c r="B40" s="2"/>
      <c r="C40" s="2"/>
      <c r="D40" s="2"/>
    </row>
    <row r="41" spans="1:4" ht="24" customHeight="1">
      <c r="A41" s="2"/>
      <c r="B41" s="2"/>
      <c r="C41" s="2"/>
      <c r="D41" s="2"/>
    </row>
    <row r="42" spans="1:4" ht="24" customHeight="1">
      <c r="A42" s="2"/>
      <c r="B42" s="2"/>
      <c r="C42" s="2"/>
      <c r="D42" s="2"/>
    </row>
    <row r="43" spans="1:4" ht="24" customHeight="1">
      <c r="A43" s="2"/>
      <c r="B43" s="2"/>
      <c r="C43" s="2"/>
      <c r="D43" s="2"/>
    </row>
    <row r="44" spans="1:4" ht="24" customHeight="1">
      <c r="A44" s="2"/>
      <c r="B44" s="2"/>
      <c r="C44" s="2"/>
      <c r="D44" s="2"/>
    </row>
    <row r="45" spans="1:4" ht="24" customHeight="1">
      <c r="A45" s="2"/>
      <c r="B45" s="2"/>
      <c r="C45" s="2"/>
      <c r="D45" s="2"/>
    </row>
  </sheetData>
  <conditionalFormatting sqref="B8:B12">
    <cfRule type="cellIs" dxfId="0" priority="1" operator="greaterThan">
      <formula>0.01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52"/>
  <sheetViews>
    <sheetView showGridLines="0" workbookViewId="0"/>
  </sheetViews>
  <sheetFormatPr defaultRowHeight="14.25"/>
  <cols>
    <col min="1" max="1" width="10" customWidth="1"/>
    <col min="2" max="2" width="28" customWidth="1"/>
    <col min="3" max="3" width="55" customWidth="1"/>
    <col min="4" max="4" width="14" customWidth="1"/>
    <col min="5" max="5" width="28" customWidth="1"/>
    <col min="6" max="6" width="55" customWidth="1"/>
    <col min="7" max="7" width="14" customWidth="1"/>
  </cols>
  <sheetData>
    <row r="1" spans="1:7">
      <c r="A1" s="1"/>
      <c r="B1" s="1"/>
      <c r="C1" s="1"/>
      <c r="D1" s="1"/>
      <c r="E1" s="1"/>
      <c r="F1" s="1"/>
      <c r="G1" s="1"/>
    </row>
    <row r="2" spans="1:7" ht="18.75">
      <c r="A2" s="18" t="s">
        <v>296</v>
      </c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>
      <c r="A4" s="1"/>
      <c r="B4" s="1"/>
      <c r="C4" s="1"/>
      <c r="D4" s="1"/>
      <c r="E4" s="1"/>
      <c r="F4" s="1"/>
      <c r="G4" s="1"/>
    </row>
    <row r="5" spans="1:7" ht="27" customHeight="1">
      <c r="A5" s="1" t="s">
        <v>297</v>
      </c>
      <c r="B5" s="1"/>
      <c r="C5" s="1"/>
      <c r="D5" s="1"/>
      <c r="E5" s="1"/>
      <c r="F5" s="1"/>
      <c r="G5" s="1"/>
    </row>
    <row r="6" spans="1:7" ht="27" customHeight="1">
      <c r="A6" s="1" t="s">
        <v>298</v>
      </c>
      <c r="B6" s="1"/>
      <c r="C6" s="1"/>
      <c r="D6" s="1"/>
      <c r="E6" s="1"/>
      <c r="F6" s="1"/>
      <c r="G6" s="1"/>
    </row>
    <row r="7" spans="1:7" ht="27" customHeight="1">
      <c r="A7" s="1" t="s">
        <v>299</v>
      </c>
      <c r="B7" s="1"/>
      <c r="C7" s="1"/>
      <c r="D7" s="1"/>
      <c r="E7" s="1"/>
      <c r="F7" s="1"/>
      <c r="G7" s="1"/>
    </row>
    <row r="8" spans="1:7" ht="27" customHeight="1">
      <c r="A8" s="1" t="s">
        <v>300</v>
      </c>
      <c r="B8" s="1"/>
      <c r="C8" s="1"/>
      <c r="D8" s="1"/>
      <c r="E8" s="1"/>
      <c r="F8" s="1"/>
      <c r="G8" s="1"/>
    </row>
    <row r="9" spans="1:7" ht="27" customHeight="1">
      <c r="A9" s="1" t="s">
        <v>301</v>
      </c>
      <c r="B9" s="1"/>
      <c r="C9" s="1"/>
      <c r="D9" s="1"/>
      <c r="E9" s="1"/>
      <c r="F9" s="1"/>
      <c r="G9" s="1"/>
    </row>
    <row r="10" spans="1:7" ht="27" customHeight="1">
      <c r="A10" s="1" t="s">
        <v>302</v>
      </c>
      <c r="B10" s="1"/>
      <c r="C10" s="1"/>
      <c r="D10" s="1"/>
      <c r="E10" s="1"/>
      <c r="F10" s="1"/>
      <c r="G10" s="1"/>
    </row>
    <row r="11" spans="1:7" ht="27" customHeight="1">
      <c r="A11" s="1" t="s">
        <v>303</v>
      </c>
      <c r="B11" s="1"/>
      <c r="C11" s="1"/>
      <c r="D11" s="1"/>
      <c r="E11" s="1"/>
      <c r="F11" s="1"/>
      <c r="G11" s="1"/>
    </row>
    <row r="12" spans="1:7" ht="27" customHeight="1">
      <c r="A12" s="1" t="s">
        <v>304</v>
      </c>
      <c r="B12" s="1"/>
      <c r="C12" s="1"/>
      <c r="D12" s="1"/>
      <c r="E12" s="1"/>
      <c r="F12" s="1"/>
      <c r="G12" s="1"/>
    </row>
    <row r="13" spans="1:7" ht="27" customHeight="1">
      <c r="A13" s="1" t="s">
        <v>305</v>
      </c>
      <c r="B13" s="1"/>
      <c r="C13" s="1"/>
      <c r="D13" s="1"/>
      <c r="E13" s="1"/>
      <c r="F13" s="1"/>
      <c r="G13" s="1"/>
    </row>
    <row r="14" spans="1:7" ht="27" customHeight="1">
      <c r="A14" s="1" t="s">
        <v>306</v>
      </c>
      <c r="B14" s="1"/>
      <c r="C14" s="1"/>
      <c r="D14" s="1"/>
      <c r="E14" s="1"/>
      <c r="F14" s="1"/>
      <c r="G14" s="1"/>
    </row>
    <row r="15" spans="1:7" ht="27" customHeight="1">
      <c r="A15" s="1" t="s">
        <v>307</v>
      </c>
      <c r="B15" s="1"/>
      <c r="C15" s="1"/>
      <c r="D15" s="1"/>
      <c r="E15" s="1"/>
      <c r="F15" s="1"/>
      <c r="G15" s="1"/>
    </row>
    <row r="16" spans="1:7" ht="27" customHeight="1">
      <c r="A16" s="1" t="s">
        <v>308</v>
      </c>
      <c r="B16" s="1"/>
      <c r="C16" s="1"/>
      <c r="D16" s="1"/>
      <c r="E16" s="1"/>
      <c r="F16" s="1"/>
      <c r="G16" s="1"/>
    </row>
    <row r="17" spans="1:7" ht="27" customHeight="1">
      <c r="A17" s="1" t="s">
        <v>309</v>
      </c>
      <c r="B17" s="1"/>
      <c r="C17" s="1"/>
      <c r="D17" s="1"/>
      <c r="E17" s="1"/>
      <c r="F17" s="1"/>
      <c r="G17" s="1"/>
    </row>
    <row r="18" spans="1:7" ht="27" customHeight="1">
      <c r="A18" s="1" t="s">
        <v>310</v>
      </c>
      <c r="B18" s="1"/>
      <c r="C18" s="1"/>
      <c r="D18" s="1"/>
      <c r="E18" s="1"/>
      <c r="F18" s="1"/>
      <c r="G18" s="1"/>
    </row>
    <row r="19" spans="1:7" ht="27" customHeight="1">
      <c r="A19" s="1" t="s">
        <v>311</v>
      </c>
      <c r="B19" s="1"/>
      <c r="C19" s="1"/>
      <c r="D19" s="1"/>
      <c r="E19" s="1"/>
      <c r="F19" s="1"/>
      <c r="G19" s="1"/>
    </row>
    <row r="20" spans="1:7" ht="27" customHeight="1">
      <c r="A20" s="1" t="s">
        <v>312</v>
      </c>
      <c r="B20" s="1"/>
      <c r="C20" s="1"/>
      <c r="D20" s="1"/>
      <c r="E20" s="1"/>
      <c r="F20" s="1"/>
      <c r="G20" s="1"/>
    </row>
    <row r="21" spans="1:7" ht="27" customHeight="1">
      <c r="A21" s="1" t="s">
        <v>313</v>
      </c>
      <c r="B21" s="1"/>
      <c r="C21" s="1"/>
      <c r="D21" s="1"/>
      <c r="E21" s="1"/>
      <c r="F21" s="1"/>
      <c r="G21" s="1"/>
    </row>
    <row r="22" spans="1:7" ht="27" customHeight="1">
      <c r="A22" s="1" t="s">
        <v>314</v>
      </c>
      <c r="B22" s="1"/>
      <c r="C22" s="1"/>
      <c r="D22" s="1"/>
      <c r="E22" s="1"/>
      <c r="F22" s="1"/>
      <c r="G22" s="1"/>
    </row>
    <row r="23" spans="1:7" ht="27" customHeight="1">
      <c r="A23" s="1" t="s">
        <v>315</v>
      </c>
      <c r="B23" s="1"/>
      <c r="C23" s="1"/>
      <c r="D23" s="1"/>
      <c r="E23" s="1"/>
      <c r="F23" s="1"/>
      <c r="G23" s="1"/>
    </row>
    <row r="24" spans="1:7" ht="27" customHeight="1">
      <c r="A24" s="1" t="s">
        <v>316</v>
      </c>
      <c r="B24" s="1"/>
      <c r="C24" s="1"/>
      <c r="D24" s="1"/>
      <c r="E24" s="1"/>
      <c r="F24" s="1"/>
      <c r="G24" s="1"/>
    </row>
    <row r="25" spans="1:7" ht="27" customHeight="1">
      <c r="A25" s="1" t="s">
        <v>317</v>
      </c>
      <c r="B25" s="1"/>
      <c r="C25" s="1"/>
      <c r="D25" s="1"/>
      <c r="E25" s="1"/>
      <c r="F25" s="1"/>
      <c r="G25" s="1"/>
    </row>
    <row r="26" spans="1:7">
      <c r="A26" s="1"/>
      <c r="B26" s="1"/>
      <c r="C26" s="1"/>
      <c r="D26" s="1"/>
      <c r="E26" s="1"/>
      <c r="F26" s="1"/>
      <c r="G26" s="1"/>
    </row>
    <row r="27" spans="1:7">
      <c r="A27" s="1"/>
      <c r="B27" s="1"/>
      <c r="C27" s="1"/>
      <c r="D27" s="1"/>
      <c r="E27" s="1"/>
      <c r="F27" s="1"/>
      <c r="G27" s="1"/>
    </row>
    <row r="28" spans="1:7">
      <c r="A28" s="1"/>
      <c r="B28" s="1"/>
      <c r="C28" s="1"/>
      <c r="D28" s="1"/>
      <c r="E28" s="1"/>
      <c r="F28" s="1"/>
      <c r="G28" s="1"/>
    </row>
    <row r="29" spans="1:7">
      <c r="A29" s="1"/>
      <c r="B29" s="1"/>
      <c r="C29" s="1"/>
      <c r="D29" s="1"/>
      <c r="E29" s="1"/>
      <c r="F29" s="1"/>
      <c r="G29" s="1"/>
    </row>
    <row r="30" spans="1:7" ht="44.1" customHeight="1">
      <c r="A30" s="16" t="s">
        <v>318</v>
      </c>
      <c r="B30" s="16" t="s">
        <v>319</v>
      </c>
      <c r="C30" s="16" t="s">
        <v>320</v>
      </c>
      <c r="D30" s="16" t="s">
        <v>321</v>
      </c>
      <c r="E30" s="16" t="s">
        <v>322</v>
      </c>
      <c r="F30" s="16" t="s">
        <v>323</v>
      </c>
      <c r="G30" s="16" t="s">
        <v>324</v>
      </c>
    </row>
    <row r="31" spans="1:7" ht="44.1" customHeight="1">
      <c r="A31" s="1">
        <v>1</v>
      </c>
      <c r="B31" s="19" t="s">
        <v>325</v>
      </c>
      <c r="C31" s="19" t="s">
        <v>326</v>
      </c>
      <c r="D31" s="17">
        <v>0.05</v>
      </c>
      <c r="E31" s="19" t="s">
        <v>325</v>
      </c>
      <c r="F31" s="19" t="s">
        <v>327</v>
      </c>
      <c r="G31" s="17">
        <v>0.05</v>
      </c>
    </row>
    <row r="32" spans="1:7" ht="44.1" customHeight="1">
      <c r="A32" s="1">
        <v>2</v>
      </c>
      <c r="B32" s="19" t="s">
        <v>325</v>
      </c>
      <c r="C32" s="19" t="s">
        <v>328</v>
      </c>
      <c r="D32" s="17">
        <v>0.03</v>
      </c>
      <c r="E32" s="19" t="s">
        <v>329</v>
      </c>
      <c r="F32" s="19" t="s">
        <v>330</v>
      </c>
      <c r="G32" s="17">
        <v>0.12</v>
      </c>
    </row>
    <row r="33" spans="1:7" ht="44.1" customHeight="1">
      <c r="A33" s="1">
        <v>3</v>
      </c>
      <c r="B33" s="19" t="s">
        <v>331</v>
      </c>
      <c r="C33" s="19" t="s">
        <v>332</v>
      </c>
      <c r="D33" s="17">
        <v>0.09</v>
      </c>
      <c r="E33" s="19" t="s">
        <v>329</v>
      </c>
      <c r="F33" s="19" t="s">
        <v>333</v>
      </c>
      <c r="G33" s="17">
        <v>0.13</v>
      </c>
    </row>
    <row r="34" spans="1:7" ht="44.1" customHeight="1">
      <c r="A34" s="1">
        <v>4</v>
      </c>
      <c r="B34" s="19" t="s">
        <v>331</v>
      </c>
      <c r="C34" s="19" t="s">
        <v>334</v>
      </c>
      <c r="D34" s="17">
        <v>0.03</v>
      </c>
      <c r="E34" s="19" t="s">
        <v>329</v>
      </c>
      <c r="F34" s="19" t="s">
        <v>335</v>
      </c>
      <c r="G34" s="17">
        <v>0.15</v>
      </c>
    </row>
    <row r="35" spans="1:7" ht="44.1" customHeight="1">
      <c r="A35" s="1">
        <v>5</v>
      </c>
      <c r="B35" s="19" t="s">
        <v>331</v>
      </c>
      <c r="C35" s="19" t="s">
        <v>336</v>
      </c>
      <c r="D35" s="17">
        <v>7.0000000000000007E-2</v>
      </c>
      <c r="E35" s="19" t="s">
        <v>337</v>
      </c>
      <c r="F35" s="19" t="s">
        <v>338</v>
      </c>
      <c r="G35" s="17">
        <v>0.08</v>
      </c>
    </row>
    <row r="36" spans="1:7" ht="44.1" customHeight="1">
      <c r="A36" s="1">
        <v>6</v>
      </c>
      <c r="B36" s="19" t="s">
        <v>331</v>
      </c>
      <c r="C36" s="19" t="s">
        <v>339</v>
      </c>
      <c r="D36" s="17">
        <v>7.0000000000000007E-2</v>
      </c>
      <c r="E36" s="19" t="s">
        <v>337</v>
      </c>
      <c r="F36" s="19" t="s">
        <v>340</v>
      </c>
      <c r="G36" s="17">
        <v>0.05</v>
      </c>
    </row>
    <row r="37" spans="1:7" ht="44.1" customHeight="1">
      <c r="A37" s="1">
        <v>7</v>
      </c>
      <c r="B37" s="19" t="s">
        <v>331</v>
      </c>
      <c r="C37" s="19" t="s">
        <v>341</v>
      </c>
      <c r="D37" s="17">
        <v>0.02</v>
      </c>
      <c r="E37" s="19" t="s">
        <v>337</v>
      </c>
      <c r="F37" s="19" t="s">
        <v>342</v>
      </c>
      <c r="G37" s="17">
        <v>0.25</v>
      </c>
    </row>
    <row r="38" spans="1:7" ht="44.1" customHeight="1">
      <c r="A38" s="1">
        <v>8</v>
      </c>
      <c r="B38" s="19" t="s">
        <v>331</v>
      </c>
      <c r="C38" s="19" t="s">
        <v>343</v>
      </c>
      <c r="D38" s="17">
        <v>0.03</v>
      </c>
      <c r="E38" s="19" t="s">
        <v>337</v>
      </c>
      <c r="F38" s="19" t="s">
        <v>344</v>
      </c>
      <c r="G38" s="17">
        <v>0.05</v>
      </c>
    </row>
    <row r="39" spans="1:7" ht="44.1" customHeight="1">
      <c r="A39" s="1">
        <v>9</v>
      </c>
      <c r="B39" s="19" t="s">
        <v>331</v>
      </c>
      <c r="C39" s="19" t="s">
        <v>345</v>
      </c>
      <c r="D39" s="17">
        <v>0.01</v>
      </c>
      <c r="E39" s="19" t="s">
        <v>337</v>
      </c>
      <c r="F39" s="19" t="s">
        <v>346</v>
      </c>
      <c r="G39" s="17">
        <v>0.02</v>
      </c>
    </row>
    <row r="40" spans="1:7" ht="44.1" customHeight="1">
      <c r="A40" s="1">
        <v>10</v>
      </c>
      <c r="B40" s="19" t="s">
        <v>347</v>
      </c>
      <c r="C40" s="19" t="s">
        <v>348</v>
      </c>
      <c r="D40" s="17">
        <v>0.1</v>
      </c>
      <c r="E40" s="19" t="s">
        <v>337</v>
      </c>
      <c r="F40" s="19" t="s">
        <v>349</v>
      </c>
      <c r="G40" s="17">
        <v>0.1</v>
      </c>
    </row>
    <row r="41" spans="1:7" ht="44.1" customHeight="1">
      <c r="A41" s="1">
        <v>11</v>
      </c>
      <c r="B41" s="19" t="s">
        <v>347</v>
      </c>
      <c r="C41" s="19" t="s">
        <v>350</v>
      </c>
      <c r="D41" s="17">
        <v>0.1</v>
      </c>
      <c r="E41" s="19"/>
      <c r="F41" s="19"/>
      <c r="G41" s="17">
        <v>0</v>
      </c>
    </row>
    <row r="42" spans="1:7" ht="44.1" customHeight="1">
      <c r="A42" s="1">
        <v>12</v>
      </c>
      <c r="B42" s="19" t="s">
        <v>347</v>
      </c>
      <c r="C42" s="19" t="s">
        <v>335</v>
      </c>
      <c r="D42" s="17">
        <v>7.0000000000000007E-2</v>
      </c>
      <c r="E42" s="19"/>
      <c r="F42" s="19"/>
      <c r="G42" s="17">
        <v>0</v>
      </c>
    </row>
    <row r="43" spans="1:7" ht="44.1" customHeight="1">
      <c r="A43" s="1">
        <v>13</v>
      </c>
      <c r="B43" s="19" t="s">
        <v>337</v>
      </c>
      <c r="C43" s="19" t="s">
        <v>338</v>
      </c>
      <c r="D43" s="17">
        <v>0.11</v>
      </c>
      <c r="E43" s="19"/>
      <c r="F43" s="19"/>
      <c r="G43" s="17">
        <v>0</v>
      </c>
    </row>
    <row r="44" spans="1:7" ht="44.1" customHeight="1">
      <c r="A44" s="1">
        <v>14</v>
      </c>
      <c r="B44" s="19" t="s">
        <v>337</v>
      </c>
      <c r="C44" s="19" t="s">
        <v>340</v>
      </c>
      <c r="D44" s="17">
        <v>0.05</v>
      </c>
      <c r="E44" s="19"/>
      <c r="F44" s="19"/>
      <c r="G44" s="17">
        <v>0</v>
      </c>
    </row>
    <row r="45" spans="1:7" ht="44.1" customHeight="1">
      <c r="A45" s="1">
        <v>15</v>
      </c>
      <c r="B45" s="19" t="s">
        <v>337</v>
      </c>
      <c r="C45" s="19" t="s">
        <v>351</v>
      </c>
      <c r="D45" s="17">
        <v>0.08</v>
      </c>
      <c r="E45" s="19"/>
      <c r="F45" s="19"/>
      <c r="G45" s="17">
        <v>0</v>
      </c>
    </row>
    <row r="46" spans="1:7" ht="44.1" customHeight="1">
      <c r="A46" s="1">
        <v>16</v>
      </c>
      <c r="B46" s="19" t="s">
        <v>337</v>
      </c>
      <c r="C46" s="19" t="s">
        <v>352</v>
      </c>
      <c r="D46" s="17">
        <v>0.02</v>
      </c>
      <c r="E46" s="19"/>
      <c r="F46" s="19"/>
      <c r="G46" s="17">
        <v>0</v>
      </c>
    </row>
    <row r="47" spans="1:7" ht="44.1" customHeight="1">
      <c r="A47" s="1">
        <v>17</v>
      </c>
      <c r="B47" s="19" t="s">
        <v>337</v>
      </c>
      <c r="C47" s="19" t="s">
        <v>346</v>
      </c>
      <c r="D47" s="17">
        <v>0.02</v>
      </c>
      <c r="E47" s="19"/>
      <c r="F47" s="19"/>
      <c r="G47" s="17">
        <v>0</v>
      </c>
    </row>
    <row r="48" spans="1:7" ht="44.1" customHeight="1">
      <c r="A48" s="1">
        <v>18</v>
      </c>
      <c r="B48" s="19" t="s">
        <v>337</v>
      </c>
      <c r="C48" s="19" t="s">
        <v>353</v>
      </c>
      <c r="D48" s="17">
        <v>0.04</v>
      </c>
      <c r="E48" s="19"/>
      <c r="F48" s="19"/>
      <c r="G48" s="17">
        <v>0</v>
      </c>
    </row>
    <row r="49" spans="1:7" ht="44.1" customHeight="1">
      <c r="A49" s="1">
        <v>19</v>
      </c>
      <c r="B49" s="19" t="s">
        <v>337</v>
      </c>
      <c r="C49" s="19" t="s">
        <v>354</v>
      </c>
      <c r="D49" s="17">
        <v>0.01</v>
      </c>
      <c r="E49" s="19"/>
      <c r="F49" s="19"/>
      <c r="G49" s="17">
        <v>0</v>
      </c>
    </row>
    <row r="50" spans="1:7">
      <c r="A50" s="1"/>
      <c r="B50" s="1"/>
      <c r="C50" s="1"/>
      <c r="D50" s="1"/>
      <c r="E50" s="1"/>
      <c r="F50" s="1"/>
      <c r="G50" s="1"/>
    </row>
    <row r="51" spans="1:7">
      <c r="A51" s="1"/>
      <c r="B51" s="1"/>
      <c r="C51" s="1"/>
      <c r="D51" s="1"/>
      <c r="E51" s="1"/>
      <c r="F51" s="1"/>
      <c r="G51" s="1"/>
    </row>
    <row r="52" spans="1:7">
      <c r="A52" s="1"/>
      <c r="B52" s="1"/>
      <c r="C52" s="1"/>
      <c r="D52" s="1"/>
      <c r="E52" s="1"/>
      <c r="F52" s="1"/>
      <c r="G5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Riepilogo</vt:lpstr>
      <vt:lpstr>Procedura</vt:lpstr>
      <vt:lpstr>Personale</vt:lpstr>
      <vt:lpstr>Voci</vt:lpstr>
      <vt:lpstr>Riparto</vt:lpstr>
      <vt:lpstr>Controlli</vt:lpstr>
      <vt:lpstr>Guida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Luca Bassanesi</cp:lastModifiedBy>
  <dcterms:modified xsi:type="dcterms:W3CDTF">2026-10-26T12:32:29Z</dcterms:modified>
</cp:coreProperties>
</file>